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budget.gr.ch/DFG/Department_Docs/2026 Budget Botschaft/Tabellen/"/>
    </mc:Choice>
  </mc:AlternateContent>
  <xr:revisionPtr revIDLastSave="0" documentId="13_ncr:1_{60EE661D-95F1-4CC5-9368-7A8D01F800ED}" xr6:coauthVersionLast="47" xr6:coauthVersionMax="47" xr10:uidLastSave="{00000000-0000-0000-0000-000000000000}"/>
  <bookViews>
    <workbookView xWindow="28680" yWindow="-120" windowWidth="29040" windowHeight="17520" xr2:uid="{00000000-000D-0000-FFFF-FFFF00000000}"/>
  </bookViews>
  <sheets>
    <sheet name="Schlüsselgrössen" sheetId="6" r:id="rId1"/>
    <sheet name="Aufwandgruppen" sheetId="9" r:id="rId2"/>
    <sheet name="Ertragsgruppen" sheetId="11" r:id="rId3"/>
    <sheet name="SF Strassen" sheetId="8" r:id="rId4"/>
    <sheet name="HRM2-Kennzahlen ab 2013" sheetId="10" r:id="rId5"/>
    <sheet name="Gesamtlohnsumme" sheetId="15" r:id="rId6"/>
    <sheet name="Ergebnisse Erfolgsrechnung" sheetId="12" r:id="rId7"/>
    <sheet name="Ergebnisse Investitionsrechnung" sheetId="14" r:id="rId8"/>
    <sheet name="frei verfügbares Eigenkapital" sheetId="16" r:id="rId9"/>
  </sheets>
  <externalReferences>
    <externalReference r:id="rId10"/>
    <externalReference r:id="rId11"/>
  </externalReferences>
  <definedNames>
    <definedName name="Budgetname">[1]Parameter!#REF!</definedName>
    <definedName name="Budgetname_Vorjahr">[1]Parameter!#REF!</definedName>
    <definedName name="Budgettyp">[1]Parameter!#REF!</definedName>
    <definedName name="_xlnm.Print_Area" localSheetId="1">Aufwandgruppen!$A$1:$N$45</definedName>
    <definedName name="_xlnm.Print_Area" localSheetId="6">'Ergebnisse Erfolgsrechnung'!$A$1:$L$54</definedName>
    <definedName name="_xlnm.Print_Area" localSheetId="7">'Ergebnisse Investitionsrechnung'!$A$1:$K$53</definedName>
    <definedName name="_xlnm.Print_Area" localSheetId="8">'frei verfügbares Eigenkapital'!$A$1:$Q$12</definedName>
    <definedName name="_xlnm.Print_Area" localSheetId="5">Gesamtlohnsumme!$A$1:$AG$64</definedName>
    <definedName name="_xlnm.Print_Area" localSheetId="4">'HRM2-Kennzahlen ab 2013'!$A$1:$Y$69</definedName>
    <definedName name="_xlnm.Print_Area" localSheetId="0">Schlüsselgrössen!$A$1:$Q$46</definedName>
    <definedName name="_xlnm.Print_Area" localSheetId="3">'SF Strassen'!$A$1:$I$44</definedName>
    <definedName name="Jahr" localSheetId="8">[1]Parameter!$B$3</definedName>
    <definedName name="Jahr">[2]Parameter!$B$3</definedName>
    <definedName name="Verbindung">[1]Parameter!$B$2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4" i="12" l="1"/>
  <c r="H44" i="14"/>
  <c r="G44" i="14"/>
  <c r="F44" i="14"/>
  <c r="E44" i="14"/>
  <c r="J43" i="14"/>
  <c r="I43" i="14"/>
  <c r="H43" i="14"/>
  <c r="G43" i="14"/>
  <c r="F43" i="14"/>
  <c r="E43" i="14"/>
  <c r="D43" i="14"/>
  <c r="C43" i="14"/>
  <c r="B43" i="14"/>
  <c r="E46" i="12"/>
  <c r="G45" i="12"/>
  <c r="F45" i="12"/>
  <c r="E45" i="12"/>
  <c r="J44" i="12"/>
  <c r="I44" i="12"/>
  <c r="H44" i="12"/>
  <c r="G44" i="12"/>
  <c r="F44" i="12"/>
  <c r="E44" i="12"/>
  <c r="C44" i="12"/>
  <c r="B44" i="12"/>
  <c r="AE19" i="15" l="1"/>
  <c r="AE18" i="15"/>
  <c r="AE17" i="15"/>
  <c r="AE7" i="15" l="1"/>
  <c r="AD7" i="15"/>
  <c r="AC7" i="15"/>
  <c r="AE20" i="15" l="1"/>
  <c r="AD21" i="15" s="1"/>
  <c r="F34" i="14" l="1"/>
  <c r="P17" i="10"/>
  <c r="Q17" i="10" s="1"/>
  <c r="P18" i="10"/>
  <c r="Q18" i="10" s="1"/>
  <c r="P19" i="10"/>
  <c r="Q19" i="10" s="1"/>
  <c r="F35" i="9" l="1"/>
  <c r="I34" i="6" l="1"/>
  <c r="G34" i="6"/>
  <c r="K34" i="6" s="1"/>
  <c r="L7" i="16" l="1"/>
  <c r="L12" i="16" s="1"/>
  <c r="C52" i="14"/>
  <c r="B52" i="14"/>
  <c r="G53" i="14"/>
  <c r="H53" i="14"/>
  <c r="E53" i="14"/>
  <c r="E52" i="14"/>
  <c r="F33" i="14"/>
  <c r="J53" i="12" l="1"/>
  <c r="C52" i="12"/>
  <c r="C53" i="12"/>
  <c r="B53" i="12"/>
  <c r="B52" i="12"/>
  <c r="F54" i="12"/>
  <c r="E34" i="12" l="1"/>
  <c r="H33" i="12"/>
  <c r="I33" i="12" s="1"/>
  <c r="S16" i="10"/>
  <c r="S17" i="10"/>
  <c r="R16" i="10"/>
  <c r="T16" i="10" s="1"/>
  <c r="R17" i="10"/>
  <c r="V17" i="10" s="1"/>
  <c r="T17" i="10" l="1"/>
  <c r="G34" i="12"/>
  <c r="E54" i="12"/>
  <c r="Q68" i="10"/>
  <c r="I67" i="10"/>
  <c r="F67" i="10"/>
  <c r="D68" i="10"/>
  <c r="Q67" i="10"/>
  <c r="I68" i="10"/>
  <c r="F68" i="10"/>
  <c r="B68" i="10"/>
  <c r="N68" i="10" s="1"/>
  <c r="B50" i="10"/>
  <c r="L50" i="10" s="1"/>
  <c r="B18" i="10" s="1"/>
  <c r="F18" i="10" l="1"/>
  <c r="H18" i="10" s="1"/>
  <c r="E18" i="10"/>
  <c r="R68" i="10"/>
  <c r="W18" i="10" s="1"/>
  <c r="Y18" i="10" s="1"/>
  <c r="G32" i="6" l="1"/>
  <c r="I32" i="6" s="1"/>
  <c r="D34" i="6"/>
  <c r="K32" i="6" l="1"/>
  <c r="AE11" i="15" l="1"/>
  <c r="G35" i="12" l="1"/>
  <c r="G54" i="12" s="1"/>
  <c r="AD5" i="15"/>
  <c r="AE6" i="15" l="1"/>
  <c r="AD8" i="15"/>
  <c r="AD4" i="15" l="1"/>
  <c r="C34" i="9" l="1"/>
  <c r="B34" i="9"/>
  <c r="L33" i="6"/>
  <c r="J33" i="6"/>
  <c r="B33" i="6"/>
  <c r="G31" i="6" l="1"/>
  <c r="M7" i="16" l="1"/>
  <c r="M12" i="16" s="1"/>
  <c r="G52" i="14"/>
  <c r="E51" i="14"/>
  <c r="G45" i="14"/>
  <c r="E45" i="14"/>
  <c r="F53" i="12" l="1"/>
  <c r="D32" i="12" l="1"/>
  <c r="E53" i="12"/>
  <c r="K16" i="10" l="1"/>
  <c r="M16" i="10" s="1"/>
  <c r="D67" i="10"/>
  <c r="N67" i="10" s="1"/>
  <c r="R67" i="10" s="1"/>
  <c r="W17" i="10" s="1"/>
  <c r="Y17" i="10" s="1"/>
  <c r="L49" i="10"/>
  <c r="B17" i="10" s="1"/>
  <c r="D32" i="8"/>
  <c r="F32" i="8" s="1"/>
  <c r="G32" i="8" s="1"/>
  <c r="D17" i="10" l="1"/>
  <c r="F17" i="10"/>
  <c r="H17" i="10" s="1"/>
  <c r="E17" i="10"/>
  <c r="V16" i="10"/>
  <c r="F34" i="9"/>
  <c r="I32" i="9" l="1"/>
  <c r="F32" i="9"/>
  <c r="D32" i="6" l="1"/>
  <c r="R15" i="10" l="1"/>
  <c r="S15" i="10"/>
  <c r="AC15" i="15"/>
  <c r="AC22" i="15"/>
  <c r="AC8" i="15"/>
  <c r="AC5" i="15"/>
  <c r="AC4" i="15"/>
  <c r="L51" i="10"/>
  <c r="B19" i="10" s="1"/>
  <c r="C7" i="16"/>
  <c r="C12" i="16" s="1"/>
  <c r="B7" i="16"/>
  <c r="B12" i="16" s="1"/>
  <c r="K7" i="16"/>
  <c r="K12" i="16" s="1"/>
  <c r="J7" i="16"/>
  <c r="J12" i="16" s="1"/>
  <c r="I7" i="16"/>
  <c r="I12" i="16" s="1"/>
  <c r="H7" i="16"/>
  <c r="H12" i="16" s="1"/>
  <c r="G7" i="16"/>
  <c r="F7" i="16"/>
  <c r="E7" i="16"/>
  <c r="E12" i="16" s="1"/>
  <c r="D7" i="16"/>
  <c r="D12" i="16" s="1"/>
  <c r="J52" i="12"/>
  <c r="AC17" i="15"/>
  <c r="D31" i="14"/>
  <c r="D31" i="12"/>
  <c r="G32" i="12"/>
  <c r="H32" i="12" s="1"/>
  <c r="I32" i="12" s="1"/>
  <c r="L65" i="10"/>
  <c r="K65" i="10"/>
  <c r="I65" i="10"/>
  <c r="F65" i="10"/>
  <c r="D65" i="10"/>
  <c r="D64" i="10"/>
  <c r="D66" i="10"/>
  <c r="Q65" i="10"/>
  <c r="Q66" i="10"/>
  <c r="I66" i="10"/>
  <c r="F66" i="10"/>
  <c r="L47" i="10"/>
  <c r="B15" i="10" s="1"/>
  <c r="L48" i="10"/>
  <c r="B16" i="10" s="1"/>
  <c r="P15" i="10"/>
  <c r="Q15" i="10" s="1"/>
  <c r="K15" i="10"/>
  <c r="M15" i="10" s="1"/>
  <c r="P16" i="10"/>
  <c r="Q16" i="10" s="1"/>
  <c r="D31" i="8"/>
  <c r="F31" i="8" s="1"/>
  <c r="G31" i="8" s="1"/>
  <c r="I31" i="9"/>
  <c r="F31" i="9"/>
  <c r="G30" i="6"/>
  <c r="I30" i="6" s="1"/>
  <c r="D30" i="6"/>
  <c r="K31" i="6"/>
  <c r="I31" i="6"/>
  <c r="D31" i="6"/>
  <c r="Y16" i="15"/>
  <c r="AB6" i="15"/>
  <c r="AB4" i="15"/>
  <c r="X15" i="15"/>
  <c r="R15" i="15"/>
  <c r="D30" i="14"/>
  <c r="D52" i="14" s="1"/>
  <c r="G51" i="14"/>
  <c r="D30" i="12"/>
  <c r="F46" i="12"/>
  <c r="G31" i="12"/>
  <c r="AA6" i="15"/>
  <c r="Z6" i="15"/>
  <c r="L64" i="10"/>
  <c r="I64" i="10"/>
  <c r="F64" i="10"/>
  <c r="Q64" i="10"/>
  <c r="L46" i="10"/>
  <c r="B14" i="10" s="1"/>
  <c r="E14" i="10" s="1"/>
  <c r="S14" i="10"/>
  <c r="R14" i="10"/>
  <c r="P14" i="10"/>
  <c r="Q14" i="10" s="1"/>
  <c r="K14" i="10"/>
  <c r="M14" i="10" s="1"/>
  <c r="D30" i="8"/>
  <c r="F30" i="8" s="1"/>
  <c r="G30" i="8" s="1"/>
  <c r="I30" i="11"/>
  <c r="I30" i="9"/>
  <c r="F30" i="9"/>
  <c r="G33" i="6"/>
  <c r="I33" i="6" s="1"/>
  <c r="D33" i="6"/>
  <c r="G29" i="6"/>
  <c r="I29" i="6" s="1"/>
  <c r="D29" i="6"/>
  <c r="F12" i="16"/>
  <c r="G12" i="16"/>
  <c r="G18" i="11"/>
  <c r="G15" i="11"/>
  <c r="G14" i="11"/>
  <c r="E16" i="9"/>
  <c r="E11" i="9"/>
  <c r="E15" i="9"/>
  <c r="J12" i="12"/>
  <c r="C8" i="14"/>
  <c r="D8" i="14" s="1"/>
  <c r="L11" i="6"/>
  <c r="G7" i="6"/>
  <c r="F18" i="14"/>
  <c r="H18" i="14" s="1"/>
  <c r="K14" i="9"/>
  <c r="K16" i="9"/>
  <c r="K29" i="9"/>
  <c r="K28" i="9"/>
  <c r="K27" i="9"/>
  <c r="K26" i="9"/>
  <c r="K25" i="9"/>
  <c r="K24" i="9"/>
  <c r="K23" i="9"/>
  <c r="K22" i="9"/>
  <c r="G50" i="14"/>
  <c r="G49" i="14"/>
  <c r="G48" i="14"/>
  <c r="G16" i="11"/>
  <c r="G17" i="11"/>
  <c r="G19" i="11"/>
  <c r="G20" i="11"/>
  <c r="G21" i="11"/>
  <c r="I29" i="11"/>
  <c r="I28" i="11"/>
  <c r="I26" i="11"/>
  <c r="I25" i="11"/>
  <c r="I24" i="11"/>
  <c r="I23" i="11"/>
  <c r="I22" i="11"/>
  <c r="E6" i="9"/>
  <c r="E7" i="9"/>
  <c r="E14" i="9"/>
  <c r="E13" i="9"/>
  <c r="E8" i="9"/>
  <c r="E9" i="9"/>
  <c r="E10" i="9"/>
  <c r="E12" i="9"/>
  <c r="E17" i="9"/>
  <c r="E18" i="9"/>
  <c r="E19" i="9"/>
  <c r="E20" i="9"/>
  <c r="E21" i="9"/>
  <c r="I22" i="9"/>
  <c r="F22" i="9"/>
  <c r="I23" i="9"/>
  <c r="I24" i="9"/>
  <c r="F23" i="9"/>
  <c r="F24" i="9"/>
  <c r="I25" i="9"/>
  <c r="I26" i="9"/>
  <c r="F25" i="9"/>
  <c r="F26" i="9"/>
  <c r="F28" i="9"/>
  <c r="E28" i="9" s="1"/>
  <c r="I27" i="9"/>
  <c r="F27" i="9"/>
  <c r="E27" i="9" s="1"/>
  <c r="I29" i="9"/>
  <c r="F29" i="9"/>
  <c r="E29" i="9" s="1"/>
  <c r="G17" i="12"/>
  <c r="L20" i="6"/>
  <c r="L19" i="6"/>
  <c r="L18" i="6"/>
  <c r="L17" i="6"/>
  <c r="L13" i="6"/>
  <c r="L12" i="6"/>
  <c r="L10" i="6"/>
  <c r="L9" i="6"/>
  <c r="L8" i="6"/>
  <c r="L6" i="6"/>
  <c r="L5" i="6"/>
  <c r="D69" i="10"/>
  <c r="F69" i="10"/>
  <c r="I69" i="10"/>
  <c r="Q69" i="10"/>
  <c r="D63" i="10"/>
  <c r="F63" i="10"/>
  <c r="I63" i="10"/>
  <c r="K63" i="10"/>
  <c r="L63" i="10"/>
  <c r="Q63" i="10"/>
  <c r="D62" i="10"/>
  <c r="F62" i="10"/>
  <c r="I62" i="10"/>
  <c r="K62" i="10"/>
  <c r="Q62" i="10"/>
  <c r="D61" i="10"/>
  <c r="F61" i="10"/>
  <c r="I61" i="10"/>
  <c r="K61" i="10"/>
  <c r="L61" i="10"/>
  <c r="Q61" i="10"/>
  <c r="D60" i="10"/>
  <c r="F60" i="10"/>
  <c r="I60" i="10"/>
  <c r="K60" i="10"/>
  <c r="Q60" i="10"/>
  <c r="D59" i="10"/>
  <c r="F59" i="10"/>
  <c r="I59" i="10"/>
  <c r="K59" i="10"/>
  <c r="Q59" i="10"/>
  <c r="D58" i="10"/>
  <c r="F58" i="10"/>
  <c r="I58" i="10"/>
  <c r="K58" i="10"/>
  <c r="L58" i="10"/>
  <c r="Q58" i="10"/>
  <c r="D57" i="10"/>
  <c r="F57" i="10"/>
  <c r="I57" i="10"/>
  <c r="K57" i="10"/>
  <c r="Q57" i="10"/>
  <c r="D56" i="10"/>
  <c r="F56" i="10"/>
  <c r="I56" i="10"/>
  <c r="K56" i="10"/>
  <c r="Q56" i="10"/>
  <c r="L45" i="10"/>
  <c r="B13" i="10" s="1"/>
  <c r="F13" i="10" s="1"/>
  <c r="H13" i="10" s="1"/>
  <c r="J21" i="12"/>
  <c r="J20" i="12"/>
  <c r="J19" i="12"/>
  <c r="J18" i="12"/>
  <c r="J14" i="12"/>
  <c r="J49" i="12" s="1"/>
  <c r="J13" i="12"/>
  <c r="J11" i="12"/>
  <c r="J10" i="12"/>
  <c r="J9" i="12"/>
  <c r="J7" i="12"/>
  <c r="J6" i="12"/>
  <c r="D29" i="12"/>
  <c r="G29" i="12"/>
  <c r="D28" i="12"/>
  <c r="H28" i="12" s="1"/>
  <c r="I28" i="12" s="1"/>
  <c r="D27" i="12"/>
  <c r="G27" i="12"/>
  <c r="D26" i="12"/>
  <c r="D25" i="12"/>
  <c r="H25" i="12" s="1"/>
  <c r="I25" i="12" s="1"/>
  <c r="D24" i="12"/>
  <c r="H24" i="12" s="1"/>
  <c r="I24" i="12" s="1"/>
  <c r="D23" i="12"/>
  <c r="H23" i="12" s="1"/>
  <c r="I23" i="12" s="1"/>
  <c r="D22" i="12"/>
  <c r="H22" i="12" s="1"/>
  <c r="D21" i="12"/>
  <c r="E21" i="12"/>
  <c r="G21" i="12" s="1"/>
  <c r="H21" i="12" s="1"/>
  <c r="D20" i="12"/>
  <c r="E20" i="12"/>
  <c r="G20" i="12" s="1"/>
  <c r="D19" i="12"/>
  <c r="G19" i="12"/>
  <c r="H19" i="12" s="1"/>
  <c r="C18" i="12"/>
  <c r="D18" i="12" s="1"/>
  <c r="G18" i="12"/>
  <c r="D17" i="12"/>
  <c r="C16" i="12"/>
  <c r="D16" i="12" s="1"/>
  <c r="E16" i="12"/>
  <c r="G16" i="12" s="1"/>
  <c r="D15" i="12"/>
  <c r="G15" i="12"/>
  <c r="C14" i="12"/>
  <c r="D14" i="12" s="1"/>
  <c r="G14" i="12"/>
  <c r="C13" i="12"/>
  <c r="D13" i="12" s="1"/>
  <c r="G13" i="12"/>
  <c r="D12" i="12"/>
  <c r="G12" i="12"/>
  <c r="D11" i="12"/>
  <c r="G11" i="12"/>
  <c r="D10" i="12"/>
  <c r="E10" i="12"/>
  <c r="G10" i="12"/>
  <c r="D9" i="12"/>
  <c r="E9" i="12"/>
  <c r="G9" i="12" s="1"/>
  <c r="H9" i="12" s="1"/>
  <c r="D8" i="12"/>
  <c r="E8" i="12"/>
  <c r="G8" i="12" s="1"/>
  <c r="C7" i="12"/>
  <c r="D7" i="12" s="1"/>
  <c r="G7" i="12"/>
  <c r="C6" i="12"/>
  <c r="D6" i="12" s="1"/>
  <c r="G6" i="12"/>
  <c r="J51" i="12"/>
  <c r="Y6" i="15"/>
  <c r="X6" i="15"/>
  <c r="X7" i="15" s="1"/>
  <c r="W6" i="15"/>
  <c r="V6" i="15"/>
  <c r="U6" i="15"/>
  <c r="U7" i="15" s="1"/>
  <c r="T6" i="15"/>
  <c r="T19" i="15" s="1"/>
  <c r="T20" i="15" s="1"/>
  <c r="S6" i="15"/>
  <c r="R6" i="15"/>
  <c r="Q6" i="15"/>
  <c r="Q7" i="15" s="1"/>
  <c r="P6" i="15"/>
  <c r="P7" i="15" s="1"/>
  <c r="O6" i="15"/>
  <c r="O7" i="15" s="1"/>
  <c r="N6" i="15"/>
  <c r="N7" i="15" s="1"/>
  <c r="M6" i="15"/>
  <c r="M7" i="15" s="1"/>
  <c r="L6" i="15"/>
  <c r="L7" i="15" s="1"/>
  <c r="K6" i="15"/>
  <c r="K7" i="15" s="1"/>
  <c r="J6" i="15"/>
  <c r="J7" i="15" s="1"/>
  <c r="I6" i="15"/>
  <c r="I7" i="15" s="1"/>
  <c r="H6" i="15"/>
  <c r="H7" i="15" s="1"/>
  <c r="G6" i="15"/>
  <c r="G7" i="15" s="1"/>
  <c r="F6" i="15"/>
  <c r="F7" i="15" s="1"/>
  <c r="E6" i="15"/>
  <c r="E7" i="15" s="1"/>
  <c r="D6" i="15"/>
  <c r="D7" i="15" s="1"/>
  <c r="C6" i="15"/>
  <c r="C7" i="15" s="1"/>
  <c r="D26" i="14"/>
  <c r="H26" i="14"/>
  <c r="D27" i="14"/>
  <c r="H27" i="14"/>
  <c r="D28" i="14"/>
  <c r="H28" i="14"/>
  <c r="D29" i="14"/>
  <c r="H29" i="14"/>
  <c r="F51" i="14"/>
  <c r="C51" i="14"/>
  <c r="B51" i="14"/>
  <c r="C22" i="14"/>
  <c r="D22" i="14" s="1"/>
  <c r="C23" i="14"/>
  <c r="D23" i="14" s="1"/>
  <c r="C24" i="14"/>
  <c r="D24" i="14"/>
  <c r="I24" i="14" s="1"/>
  <c r="J24" i="14" s="1"/>
  <c r="C25" i="14"/>
  <c r="D25" i="14" s="1"/>
  <c r="I25" i="14" s="1"/>
  <c r="J25" i="14" s="1"/>
  <c r="C18" i="14"/>
  <c r="D18" i="14" s="1"/>
  <c r="C21" i="14"/>
  <c r="D21" i="14" s="1"/>
  <c r="B48" i="14"/>
  <c r="H6" i="14"/>
  <c r="H7" i="14"/>
  <c r="H8" i="14"/>
  <c r="H9" i="14"/>
  <c r="H10" i="14"/>
  <c r="H11" i="14"/>
  <c r="H12" i="14"/>
  <c r="H13" i="14"/>
  <c r="F14" i="14"/>
  <c r="H14" i="14" s="1"/>
  <c r="H15" i="14"/>
  <c r="F16" i="14"/>
  <c r="H16" i="14" s="1"/>
  <c r="F17" i="14"/>
  <c r="H17" i="14" s="1"/>
  <c r="F19" i="14"/>
  <c r="H19" i="14" s="1"/>
  <c r="H20" i="14"/>
  <c r="F21" i="14"/>
  <c r="H21" i="14" s="1"/>
  <c r="H22" i="14"/>
  <c r="H23" i="14"/>
  <c r="H24" i="14"/>
  <c r="H25" i="14"/>
  <c r="D6" i="14"/>
  <c r="D7" i="14"/>
  <c r="D9" i="14"/>
  <c r="D10" i="14"/>
  <c r="D11" i="14"/>
  <c r="I11" i="14" s="1"/>
  <c r="J11" i="14" s="1"/>
  <c r="D12" i="14"/>
  <c r="G30" i="12"/>
  <c r="F52" i="12"/>
  <c r="E27" i="12"/>
  <c r="E52" i="12" s="1"/>
  <c r="B51" i="12"/>
  <c r="B50" i="12"/>
  <c r="B49" i="12"/>
  <c r="L44" i="10"/>
  <c r="B12" i="10" s="1"/>
  <c r="L43" i="10"/>
  <c r="B11" i="10" s="1"/>
  <c r="L42" i="10"/>
  <c r="B10" i="10" s="1"/>
  <c r="F10" i="10" s="1"/>
  <c r="H10" i="10" s="1"/>
  <c r="L41" i="10"/>
  <c r="B9" i="10" s="1"/>
  <c r="K40" i="10"/>
  <c r="L40" i="10" s="1"/>
  <c r="B8" i="10" s="1"/>
  <c r="K39" i="10"/>
  <c r="L39" i="10" s="1"/>
  <c r="B7" i="10" s="1"/>
  <c r="L38" i="10"/>
  <c r="B6" i="10" s="1"/>
  <c r="P12" i="10"/>
  <c r="Q12" i="10" s="1"/>
  <c r="R13" i="10"/>
  <c r="S13" i="10"/>
  <c r="P13" i="10"/>
  <c r="Q13" i="10" s="1"/>
  <c r="K13" i="10"/>
  <c r="M13" i="10" s="1"/>
  <c r="D7" i="8"/>
  <c r="F7" i="8" s="1"/>
  <c r="G7" i="8" s="1"/>
  <c r="H7" i="8"/>
  <c r="D8" i="8"/>
  <c r="F8" i="8" s="1"/>
  <c r="G8" i="8" s="1"/>
  <c r="D9" i="8"/>
  <c r="F9" i="8" s="1"/>
  <c r="G9" i="8" s="1"/>
  <c r="D10" i="8"/>
  <c r="F10" i="8" s="1"/>
  <c r="G10" i="8" s="1"/>
  <c r="D11" i="8"/>
  <c r="F11" i="8" s="1"/>
  <c r="G11" i="8" s="1"/>
  <c r="D12" i="8"/>
  <c r="F12" i="8" s="1"/>
  <c r="G12" i="8" s="1"/>
  <c r="D13" i="8"/>
  <c r="F13" i="8" s="1"/>
  <c r="G13" i="8" s="1"/>
  <c r="D14" i="8"/>
  <c r="F14" i="8" s="1"/>
  <c r="G14" i="8" s="1"/>
  <c r="D15" i="8"/>
  <c r="F15" i="8" s="1"/>
  <c r="G15" i="8" s="1"/>
  <c r="D16" i="8"/>
  <c r="F16" i="8" s="1"/>
  <c r="G16" i="8" s="1"/>
  <c r="D17" i="8"/>
  <c r="F17" i="8" s="1"/>
  <c r="G17" i="8" s="1"/>
  <c r="D18" i="8"/>
  <c r="F18" i="8" s="1"/>
  <c r="G18" i="8" s="1"/>
  <c r="D19" i="8"/>
  <c r="F19" i="8" s="1"/>
  <c r="G19" i="8" s="1"/>
  <c r="D20" i="8"/>
  <c r="F20" i="8" s="1"/>
  <c r="G20" i="8" s="1"/>
  <c r="D21" i="8"/>
  <c r="F21" i="8" s="1"/>
  <c r="G21" i="8" s="1"/>
  <c r="D22" i="8"/>
  <c r="F22" i="8" s="1"/>
  <c r="G22" i="8" s="1"/>
  <c r="D23" i="8"/>
  <c r="F23" i="8" s="1"/>
  <c r="G23" i="8" s="1"/>
  <c r="D24" i="8"/>
  <c r="F24" i="8" s="1"/>
  <c r="G24" i="8" s="1"/>
  <c r="D25" i="8"/>
  <c r="F25" i="8" s="1"/>
  <c r="G25" i="8" s="1"/>
  <c r="D26" i="8"/>
  <c r="F26" i="8" s="1"/>
  <c r="G26" i="8" s="1"/>
  <c r="D27" i="8"/>
  <c r="F27" i="8" s="1"/>
  <c r="G27" i="8" s="1"/>
  <c r="D28" i="8"/>
  <c r="F28" i="8" s="1"/>
  <c r="G28" i="8" s="1"/>
  <c r="D29" i="8"/>
  <c r="F29" i="8" s="1"/>
  <c r="G29" i="8" s="1"/>
  <c r="G25" i="6"/>
  <c r="I25" i="6"/>
  <c r="G28" i="6"/>
  <c r="I28" i="6" s="1"/>
  <c r="G27" i="6"/>
  <c r="I27" i="6" s="1"/>
  <c r="G26" i="6"/>
  <c r="I26" i="6" s="1"/>
  <c r="G24" i="6"/>
  <c r="I24" i="6" s="1"/>
  <c r="G23" i="6"/>
  <c r="I23" i="6" s="1"/>
  <c r="G22" i="6"/>
  <c r="I22" i="6" s="1"/>
  <c r="G21" i="6"/>
  <c r="I21" i="6" s="1"/>
  <c r="D28" i="6"/>
  <c r="D19" i="14"/>
  <c r="D20" i="14"/>
  <c r="C14" i="14"/>
  <c r="D14" i="14" s="1"/>
  <c r="C15" i="14"/>
  <c r="D15" i="14"/>
  <c r="I15" i="14" s="1"/>
  <c r="J15" i="14" s="1"/>
  <c r="C16" i="14"/>
  <c r="D16" i="14" s="1"/>
  <c r="C17" i="14"/>
  <c r="D17" i="14" s="1"/>
  <c r="D13" i="14"/>
  <c r="R12" i="10"/>
  <c r="S12" i="10"/>
  <c r="K12" i="10"/>
  <c r="M12" i="10" s="1"/>
  <c r="D27" i="6"/>
  <c r="G10" i="11"/>
  <c r="I12" i="6"/>
  <c r="I11" i="6"/>
  <c r="I10" i="6"/>
  <c r="I9" i="6"/>
  <c r="I8" i="6"/>
  <c r="I7" i="6"/>
  <c r="I6" i="6"/>
  <c r="I5" i="6"/>
  <c r="F50" i="14"/>
  <c r="E50" i="14"/>
  <c r="B50" i="14"/>
  <c r="E49" i="14"/>
  <c r="B49" i="14"/>
  <c r="E48" i="14"/>
  <c r="G51" i="12"/>
  <c r="F51" i="12"/>
  <c r="E51" i="12"/>
  <c r="C51" i="12"/>
  <c r="F50" i="12"/>
  <c r="F49" i="12"/>
  <c r="Q11" i="10"/>
  <c r="S11" i="10"/>
  <c r="S10" i="10"/>
  <c r="S9" i="10"/>
  <c r="S8" i="10"/>
  <c r="S7" i="10"/>
  <c r="S6" i="10"/>
  <c r="R11" i="10"/>
  <c r="R10" i="10"/>
  <c r="R9" i="10"/>
  <c r="R8" i="10"/>
  <c r="R7" i="10"/>
  <c r="R6" i="10"/>
  <c r="D6" i="8"/>
  <c r="F6" i="8" s="1"/>
  <c r="G6" i="8" s="1"/>
  <c r="D26" i="6"/>
  <c r="D25" i="6"/>
  <c r="D24" i="6"/>
  <c r="D23" i="6"/>
  <c r="D22" i="6"/>
  <c r="D21" i="6"/>
  <c r="D20" i="6"/>
  <c r="D19" i="6"/>
  <c r="D18" i="6"/>
  <c r="D17" i="6"/>
  <c r="D16" i="6"/>
  <c r="D15" i="6"/>
  <c r="D14" i="6"/>
  <c r="D13" i="6"/>
  <c r="D12" i="6"/>
  <c r="D11" i="6"/>
  <c r="D10" i="6"/>
  <c r="D9" i="6"/>
  <c r="D8" i="6"/>
  <c r="D7" i="6"/>
  <c r="D6" i="6"/>
  <c r="D5" i="6"/>
  <c r="G20" i="6"/>
  <c r="G19" i="6"/>
  <c r="G18" i="6"/>
  <c r="G17" i="6"/>
  <c r="G16" i="6"/>
  <c r="G15" i="6"/>
  <c r="G14" i="6"/>
  <c r="G13" i="6"/>
  <c r="G12" i="6"/>
  <c r="G11" i="6"/>
  <c r="G10" i="6"/>
  <c r="G9" i="6"/>
  <c r="G8" i="6"/>
  <c r="G6" i="6"/>
  <c r="G5" i="6"/>
  <c r="Q6" i="10"/>
  <c r="Q7" i="10"/>
  <c r="Q10" i="10"/>
  <c r="Q9" i="10"/>
  <c r="Q8" i="10"/>
  <c r="K6" i="10"/>
  <c r="M6" i="10" s="1"/>
  <c r="K7" i="10"/>
  <c r="M7" i="10" s="1"/>
  <c r="K11" i="10"/>
  <c r="M11" i="10" s="1"/>
  <c r="K10" i="10"/>
  <c r="M10" i="10" s="1"/>
  <c r="K9" i="10"/>
  <c r="M9" i="10" s="1"/>
  <c r="K8" i="10"/>
  <c r="M8" i="10" s="1"/>
  <c r="G6" i="11"/>
  <c r="G7" i="11"/>
  <c r="G8" i="11"/>
  <c r="G9" i="11"/>
  <c r="G11" i="11"/>
  <c r="G12" i="11"/>
  <c r="G13" i="11"/>
  <c r="E49" i="12"/>
  <c r="D53" i="12" l="1"/>
  <c r="I12" i="14"/>
  <c r="J12" i="14" s="1"/>
  <c r="I29" i="14"/>
  <c r="J29" i="14" s="1"/>
  <c r="G53" i="12"/>
  <c r="E23" i="9"/>
  <c r="T7" i="15"/>
  <c r="F19" i="10"/>
  <c r="H19" i="10" s="1"/>
  <c r="E19" i="10"/>
  <c r="D19" i="10"/>
  <c r="H26" i="12"/>
  <c r="D52" i="12"/>
  <c r="I6" i="14"/>
  <c r="J6" i="14" s="1"/>
  <c r="H27" i="12"/>
  <c r="I27" i="12" s="1"/>
  <c r="H11" i="12"/>
  <c r="I11" i="12" s="1"/>
  <c r="H10" i="12"/>
  <c r="I10" i="12" s="1"/>
  <c r="C50" i="12"/>
  <c r="H17" i="12"/>
  <c r="I17" i="12" s="1"/>
  <c r="C49" i="12"/>
  <c r="I9" i="12"/>
  <c r="I19" i="12"/>
  <c r="V6" i="10"/>
  <c r="F16" i="10"/>
  <c r="H16" i="10" s="1"/>
  <c r="D16" i="10"/>
  <c r="D18" i="10"/>
  <c r="E16" i="10"/>
  <c r="T11" i="10"/>
  <c r="N61" i="10"/>
  <c r="R61" i="10" s="1"/>
  <c r="W11" i="10" s="1"/>
  <c r="Y11" i="10" s="1"/>
  <c r="E22" i="9"/>
  <c r="E24" i="9"/>
  <c r="K30" i="6"/>
  <c r="D49" i="14"/>
  <c r="I18" i="14"/>
  <c r="J18" i="14" s="1"/>
  <c r="E12" i="10"/>
  <c r="F12" i="10"/>
  <c r="H12" i="10" s="1"/>
  <c r="H51" i="14"/>
  <c r="H6" i="12"/>
  <c r="I6" i="12" s="1"/>
  <c r="I7" i="14"/>
  <c r="J7" i="14" s="1"/>
  <c r="I14" i="14"/>
  <c r="J14" i="14" s="1"/>
  <c r="H12" i="12"/>
  <c r="I12" i="12" s="1"/>
  <c r="H29" i="12"/>
  <c r="I29" i="12" s="1"/>
  <c r="H31" i="12"/>
  <c r="I31" i="12" s="1"/>
  <c r="H13" i="12"/>
  <c r="I13" i="12" s="1"/>
  <c r="H30" i="12"/>
  <c r="H8" i="8"/>
  <c r="H9" i="8" s="1"/>
  <c r="H10" i="8" s="1"/>
  <c r="H11" i="8" s="1"/>
  <c r="H12" i="8" s="1"/>
  <c r="H13" i="8" s="1"/>
  <c r="H14" i="8" s="1"/>
  <c r="H15" i="8" s="1"/>
  <c r="H16" i="8" s="1"/>
  <c r="H17" i="8" s="1"/>
  <c r="H18" i="8" s="1"/>
  <c r="H19" i="8" s="1"/>
  <c r="H20" i="8" s="1"/>
  <c r="H21" i="8" s="1"/>
  <c r="H22" i="8" s="1"/>
  <c r="H23" i="8" s="1"/>
  <c r="H24" i="8" s="1"/>
  <c r="H25" i="8" s="1"/>
  <c r="H26" i="8" s="1"/>
  <c r="H27" i="8" s="1"/>
  <c r="H28" i="8" s="1"/>
  <c r="H29" i="8" s="1"/>
  <c r="H30" i="8" s="1"/>
  <c r="H31" i="8" s="1"/>
  <c r="H32" i="8" s="1"/>
  <c r="H33" i="8" s="1"/>
  <c r="H34" i="8" s="1"/>
  <c r="H35" i="8" s="1"/>
  <c r="G49" i="12"/>
  <c r="I21" i="12"/>
  <c r="T13" i="10"/>
  <c r="I10" i="14"/>
  <c r="J10" i="14" s="1"/>
  <c r="T14" i="10"/>
  <c r="D51" i="14"/>
  <c r="K28" i="6"/>
  <c r="E25" i="9"/>
  <c r="I21" i="14"/>
  <c r="J21" i="14" s="1"/>
  <c r="K29" i="6"/>
  <c r="I27" i="14"/>
  <c r="J27" i="14" s="1"/>
  <c r="F49" i="14"/>
  <c r="G52" i="12"/>
  <c r="I28" i="14"/>
  <c r="J28" i="14" s="1"/>
  <c r="J50" i="12"/>
  <c r="I13" i="14"/>
  <c r="J13" i="14" s="1"/>
  <c r="D8" i="10"/>
  <c r="E8" i="10"/>
  <c r="C50" i="14"/>
  <c r="E50" i="12"/>
  <c r="T7" i="10"/>
  <c r="E26" i="9"/>
  <c r="V10" i="10"/>
  <c r="I22" i="14"/>
  <c r="J22" i="14" s="1"/>
  <c r="H8" i="12"/>
  <c r="I8" i="12" s="1"/>
  <c r="I20" i="14"/>
  <c r="J20" i="14" s="1"/>
  <c r="H49" i="14"/>
  <c r="F48" i="14"/>
  <c r="I26" i="14"/>
  <c r="N64" i="10"/>
  <c r="R64" i="10" s="1"/>
  <c r="W14" i="10" s="1"/>
  <c r="Y14" i="10" s="1"/>
  <c r="C49" i="14"/>
  <c r="H15" i="12"/>
  <c r="I15" i="12" s="1"/>
  <c r="N65" i="10"/>
  <c r="R65" i="10" s="1"/>
  <c r="W15" i="10" s="1"/>
  <c r="Y15" i="10" s="1"/>
  <c r="H14" i="12"/>
  <c r="I14" i="12" s="1"/>
  <c r="D51" i="12"/>
  <c r="T12" i="10"/>
  <c r="I9" i="14"/>
  <c r="J9" i="14" s="1"/>
  <c r="E13" i="10"/>
  <c r="V13" i="10"/>
  <c r="F6" i="10"/>
  <c r="H6" i="10" s="1"/>
  <c r="E6" i="10"/>
  <c r="D6" i="10"/>
  <c r="D50" i="12"/>
  <c r="H18" i="12"/>
  <c r="I23" i="14"/>
  <c r="J23" i="14" s="1"/>
  <c r="D50" i="14"/>
  <c r="H51" i="12"/>
  <c r="I22" i="12"/>
  <c r="I51" i="12" s="1"/>
  <c r="I16" i="14"/>
  <c r="J16" i="14" s="1"/>
  <c r="D48" i="14"/>
  <c r="H7" i="12"/>
  <c r="D49" i="12"/>
  <c r="H16" i="12"/>
  <c r="I16" i="12" s="1"/>
  <c r="G50" i="12"/>
  <c r="H20" i="12"/>
  <c r="I20" i="12" s="1"/>
  <c r="I26" i="12"/>
  <c r="F15" i="10"/>
  <c r="H15" i="10" s="1"/>
  <c r="D15" i="10"/>
  <c r="I19" i="14"/>
  <c r="J19" i="14" s="1"/>
  <c r="N56" i="10"/>
  <c r="R56" i="10" s="1"/>
  <c r="W6" i="10" s="1"/>
  <c r="Y6" i="10" s="1"/>
  <c r="N69" i="10"/>
  <c r="R69" i="10" s="1"/>
  <c r="W19" i="10" s="1"/>
  <c r="Y19" i="10" s="1"/>
  <c r="N59" i="10"/>
  <c r="R59" i="10" s="1"/>
  <c r="W9" i="10" s="1"/>
  <c r="Y9" i="10" s="1"/>
  <c r="T15" i="10"/>
  <c r="N57" i="10"/>
  <c r="R57" i="10" s="1"/>
  <c r="W7" i="10" s="1"/>
  <c r="Y7" i="10" s="1"/>
  <c r="N58" i="10"/>
  <c r="R58" i="10" s="1"/>
  <c r="W8" i="10" s="1"/>
  <c r="Y8" i="10" s="1"/>
  <c r="N60" i="10"/>
  <c r="R60" i="10" s="1"/>
  <c r="W10" i="10" s="1"/>
  <c r="Y10" i="10" s="1"/>
  <c r="N62" i="10"/>
  <c r="R62" i="10" s="1"/>
  <c r="W12" i="10" s="1"/>
  <c r="Y12" i="10" s="1"/>
  <c r="N63" i="10"/>
  <c r="R63" i="10" s="1"/>
  <c r="W13" i="10" s="1"/>
  <c r="Y13" i="10" s="1"/>
  <c r="T6" i="10"/>
  <c r="V11" i="10"/>
  <c r="V12" i="10"/>
  <c r="C48" i="14"/>
  <c r="K33" i="6"/>
  <c r="S19" i="15"/>
  <c r="S20" i="15" s="1"/>
  <c r="U19" i="15"/>
  <c r="U20" i="15" s="1"/>
  <c r="R19" i="15"/>
  <c r="R20" i="15" s="1"/>
  <c r="W19" i="15"/>
  <c r="W20" i="15" s="1"/>
  <c r="Z7" i="15"/>
  <c r="Z19" i="15"/>
  <c r="Z20" i="15" s="1"/>
  <c r="AB7" i="15"/>
  <c r="AB19" i="15"/>
  <c r="AB20" i="15" s="1"/>
  <c r="X19" i="15"/>
  <c r="X20" i="15" s="1"/>
  <c r="AA7" i="15"/>
  <c r="AA19" i="15"/>
  <c r="AA20" i="15" s="1"/>
  <c r="Y19" i="15"/>
  <c r="Y20" i="15" s="1"/>
  <c r="Y7" i="15"/>
  <c r="S7" i="15"/>
  <c r="V7" i="15"/>
  <c r="V19" i="15"/>
  <c r="V20" i="15" s="1"/>
  <c r="R7" i="15"/>
  <c r="W7" i="15"/>
  <c r="AC6" i="15"/>
  <c r="AC19" i="15" s="1"/>
  <c r="AD6" i="15"/>
  <c r="AD19" i="15" s="1"/>
  <c r="I17" i="14"/>
  <c r="J17" i="14" s="1"/>
  <c r="H48" i="14"/>
  <c r="I8" i="14"/>
  <c r="H50" i="14"/>
  <c r="N66" i="10"/>
  <c r="R66" i="10" s="1"/>
  <c r="E15" i="10"/>
  <c r="E10" i="10"/>
  <c r="V7" i="10"/>
  <c r="D12" i="10"/>
  <c r="D10" i="10"/>
  <c r="D11" i="10"/>
  <c r="E11" i="10"/>
  <c r="F11" i="10"/>
  <c r="H11" i="10" s="1"/>
  <c r="D9" i="10"/>
  <c r="E9" i="10"/>
  <c r="F9" i="10"/>
  <c r="H9" i="10" s="1"/>
  <c r="E7" i="10"/>
  <c r="F7" i="10"/>
  <c r="H7" i="10" s="1"/>
  <c r="D7" i="10"/>
  <c r="F8" i="10"/>
  <c r="H8" i="10" s="1"/>
  <c r="V8" i="10"/>
  <c r="D13" i="10"/>
  <c r="D14" i="10"/>
  <c r="T9" i="10"/>
  <c r="F14" i="10"/>
  <c r="H14" i="10" s="1"/>
  <c r="T10" i="10"/>
  <c r="V9" i="10"/>
  <c r="V14" i="10"/>
  <c r="T8" i="10"/>
  <c r="V15" i="10"/>
  <c r="G46" i="12"/>
  <c r="J26" i="14" l="1"/>
  <c r="J51" i="14" s="1"/>
  <c r="I51" i="14"/>
  <c r="I30" i="12"/>
  <c r="I53" i="12" s="1"/>
  <c r="H53" i="12"/>
  <c r="H52" i="12"/>
  <c r="I52" i="12"/>
  <c r="J50" i="14"/>
  <c r="J49" i="14"/>
  <c r="J48" i="14"/>
  <c r="I49" i="14"/>
  <c r="I7" i="12"/>
  <c r="I18" i="12"/>
  <c r="I50" i="12" s="1"/>
  <c r="H50" i="12"/>
  <c r="I49" i="12"/>
  <c r="H49" i="12"/>
  <c r="I50" i="14"/>
  <c r="AC20" i="15"/>
  <c r="Z21" i="15" s="1"/>
  <c r="AD20" i="15"/>
  <c r="J8" i="14"/>
  <c r="I48" i="14"/>
  <c r="W16" i="10"/>
  <c r="Y16" i="10" s="1"/>
  <c r="F35" i="14" l="1"/>
  <c r="F53" i="14" s="1"/>
  <c r="F52" i="14"/>
  <c r="H32" i="14"/>
  <c r="I32" i="14" s="1"/>
  <c r="J32" i="14" s="1"/>
  <c r="H31" i="14"/>
  <c r="I31" i="14"/>
  <c r="J31" i="14" s="1"/>
  <c r="H30" i="14"/>
  <c r="I30" i="14" s="1"/>
  <c r="J30" i="14" l="1"/>
  <c r="J52" i="14" s="1"/>
  <c r="I52" i="14"/>
  <c r="H45" i="14"/>
  <c r="F45" i="14"/>
  <c r="H52" i="14"/>
</calcChain>
</file>

<file path=xl/sharedStrings.xml><?xml version="1.0" encoding="utf-8"?>
<sst xmlns="http://schemas.openxmlformats.org/spreadsheetml/2006/main" count="1011" uniqueCount="539">
  <si>
    <t>(- = Nettovermögen)</t>
  </si>
  <si>
    <t>Ergebnis</t>
  </si>
  <si>
    <t>Selbst-finanzierung</t>
  </si>
  <si>
    <t>Finanzierungs-saldo</t>
  </si>
  <si>
    <t>Jahr</t>
  </si>
  <si>
    <t>Schlüsselgrössen Finanzhaushalt Kanton Graubünden seit 1997</t>
  </si>
  <si>
    <t>HRM2-Kennzahlen Kanton Graubünden seit 2013</t>
  </si>
  <si>
    <t>Selbstfinanzierungsgrad</t>
  </si>
  <si>
    <t>Selbstfinanzierungsanteil</t>
  </si>
  <si>
    <t>Nettoverschuldungsquotient</t>
  </si>
  <si>
    <t>Zinsbelastungsanteil</t>
  </si>
  <si>
    <t>Einwohner</t>
  </si>
  <si>
    <t>Laufender Ertrag</t>
  </si>
  <si>
    <t>Zahlen gemäss Berechnungsart ab 2017 (2013-2016 Restatement)</t>
  </si>
  <si>
    <t>Schlüsselgrössen Spezialfinanzierung Strassen Kanton Graubünden seit 1997</t>
  </si>
  <si>
    <t>(- = Schuld)</t>
  </si>
  <si>
    <t>Bruttoin-landprodukt</t>
  </si>
  <si>
    <t xml:space="preserve">Netto-investitionen </t>
  </si>
  <si>
    <t>Selbstfinanz-ierungsgrad</t>
  </si>
  <si>
    <t>Selbstfinanz-ierungsanteil</t>
  </si>
  <si>
    <t>Nettoverschuld-ungsquotient</t>
  </si>
  <si>
    <t>Zinsbelast-ungsanteil</t>
  </si>
  <si>
    <t>kantonale Staatsquote</t>
  </si>
  <si>
    <t>Bemerkungen zur 2. Stufe</t>
  </si>
  <si>
    <t>Bemerkungen zur 1. Stufe</t>
  </si>
  <si>
    <t>Gesamt-ergebnis
(3. Stufe)</t>
  </si>
  <si>
    <r>
      <rPr>
        <vertAlign val="superscript"/>
        <sz val="10"/>
        <rFont val="Arial Narrow"/>
        <family val="2"/>
      </rPr>
      <t>2)</t>
    </r>
    <r>
      <rPr>
        <sz val="10"/>
        <rFont val="Arial Narrow"/>
        <family val="2"/>
      </rPr>
      <t xml:space="preserve"> Budget ohne Nachtragskredite</t>
    </r>
  </si>
  <si>
    <r>
      <rPr>
        <vertAlign val="superscript"/>
        <sz val="10"/>
        <rFont val="Arial Narrow"/>
        <family val="2"/>
      </rPr>
      <t xml:space="preserve">3) </t>
    </r>
    <r>
      <rPr>
        <sz val="10"/>
        <rFont val="Arial Narrow"/>
        <family val="2"/>
      </rPr>
      <t>Einführung HRM2</t>
    </r>
  </si>
  <si>
    <t>Ergebnisse Investitionsrechnung Kanton Graubünden seit 1997</t>
  </si>
  <si>
    <t>Abweichung</t>
  </si>
  <si>
    <t>RE / BU 
Ergebnis</t>
  </si>
  <si>
    <t>Jahresrechnung (RE)</t>
  </si>
  <si>
    <t>in % der Ausgaben</t>
  </si>
  <si>
    <t>Ergebnisse Erfolgsrechnung Kanton Graubünden seit 1997</t>
  </si>
  <si>
    <r>
      <t>Budget</t>
    </r>
    <r>
      <rPr>
        <b/>
        <vertAlign val="superscript"/>
        <sz val="10"/>
        <color theme="1"/>
        <rFont val="Arial Narrow"/>
        <family val="2"/>
      </rPr>
      <t>2)</t>
    </r>
    <r>
      <rPr>
        <b/>
        <sz val="10"/>
        <color theme="1"/>
        <rFont val="Arial Narrow"/>
        <family val="2"/>
      </rPr>
      <t xml:space="preserve"> (BU) </t>
    </r>
  </si>
  <si>
    <r>
      <t>2012</t>
    </r>
    <r>
      <rPr>
        <b/>
        <vertAlign val="superscript"/>
        <sz val="10"/>
        <rFont val="Arial Narrow"/>
        <family val="2"/>
      </rPr>
      <t>1)</t>
    </r>
  </si>
  <si>
    <r>
      <rPr>
        <vertAlign val="superscript"/>
        <sz val="10"/>
        <rFont val="Arial Narrow"/>
        <family val="2"/>
      </rPr>
      <t xml:space="preserve">1) </t>
    </r>
    <r>
      <rPr>
        <sz val="10"/>
        <rFont val="Arial Narrow"/>
        <family val="2"/>
      </rPr>
      <t>bis 2012: ordentliches Ergebnis / Budget Laufende Rechnung</t>
    </r>
  </si>
  <si>
    <t>Richtwerte</t>
  </si>
  <si>
    <t>Aussage</t>
  </si>
  <si>
    <t>Bemerkung</t>
  </si>
  <si>
    <t>Hochkonjunktur &gt; 100 %, 
Normalfall 80 bis 100 %, 
Abschwung 50 bis 79 %, 
Ungenügend &lt; 50 %</t>
  </si>
  <si>
    <t xml:space="preserve">Der Selbstfinanzierungsgrad zeigt den Anteil der Nettoinvestitionen, den der Kanton aus eigenen Mitteln finanzieren kann. </t>
  </si>
  <si>
    <t>&gt; 20 % = gut,
10 bis 20 % = mittel,
&lt; 10 % = schlecht</t>
  </si>
  <si>
    <t>&lt; 0 % = sehr gut,
0 bis 100 % = gut,
100 bis 150 % = genügend,
&gt; 150 % = schlecht</t>
  </si>
  <si>
    <t>Gibt an, welcher Anteil der Steuererträge erforderlich wäre, um die Nettoschuld abzutragen.</t>
  </si>
  <si>
    <t>Formel</t>
  </si>
  <si>
    <t>Selbstfinanzierung x 100</t>
  </si>
  <si>
    <t>Nettoinvestitionen</t>
  </si>
  <si>
    <t>&lt; 0 % = sehr gut,
0 bis 4 % = gut,
4,1 bis 9 % = genügend,
&gt; 9 % = schlecht</t>
  </si>
  <si>
    <t>Anteil des «verfügbaren Einkommens», welcher durch den Nettozinsaufwand gebunden ist. Je tiefer der Wert, desto grösser der Handlungsspielraum.</t>
  </si>
  <si>
    <t xml:space="preserve">Aufgrund der unverändert guten Liquiditätslage und des tiefen Fremdkapitals übersteigt der Zinsertrag die Zinsaufwendungen trotz Niedrigzinsumfelds und Negativzinsen. </t>
  </si>
  <si>
    <t>Erläuterungen</t>
  </si>
  <si>
    <t>&lt; 0 Franken = Nettovermögen,
0 bis 1000 Franken geringe Verschuldung,
1001 bis 2500 Franken = mittlere Verschuldung,
&gt; 2500 Franken = hohe Verschuldung</t>
  </si>
  <si>
    <t>Gesamtausgaben x 100</t>
  </si>
  <si>
    <t>Bruttoinlandprodukt (BIP)</t>
  </si>
  <si>
    <t>Stellt die kantonalen Gesamtausgaben im Verhältnis zum nominalen Bündner Bruttoinlandprodukt (BIP) dar.</t>
  </si>
  <si>
    <t>Je nach Abweichungen des tatsächlichen BIP gemäss BFS vom geschätzten BIP verändert sich die Kennzahl rückwirkend.</t>
  </si>
  <si>
    <t>sonderfinanzierte Darlehen an LKG (RE 0,1 Mio. BU 6,0 Mio.)</t>
  </si>
  <si>
    <t>sonderfinanzierte Darlehen an LKG (RE 0,1 Mio. BU 4,0 Mio.)</t>
  </si>
  <si>
    <t>vom Bund finanzierte Darlehen (LKG RE 4,2 Mio. BU 4,4 Mio., NRP netto RE 4,8 Mio. BU 7,7 Mio., Waldgesetz netto RE -0,24 Mio. BU 0,14 Mio.), vom RW ausgenommene Vorhaben (Sinergia RE 5,0 Mio. BU 6,5 Mio.), RE: zusätzlich Erhöhung Beteiligung REPower 86 Mio.</t>
  </si>
  <si>
    <t>sonderfinanzierte Darlehen an LKG (RE 7,6 Mio., BU 4,0 Mio.) und Darlehensrückzahlungen der ALV (RE -28,1 Mio. BU -17,1 Mio.)</t>
  </si>
  <si>
    <t>sonderfinanzierte Darlehen an LKG (RE 8,1 Mio. BU 6,0 Mio.) und Darlehensrückzahlungen der ALV (RE -14,4 Mio. BU -11,5 Mio.)</t>
  </si>
  <si>
    <t>Anteil am Deckungsfehlbetrag der KPG (RE 381,3 Mio. BU 400 Mio.), bereinigt: Darlehen an LKG (RE 1,1 Mio. BU 1 Mio.)</t>
  </si>
  <si>
    <t>vom Bund finanzierte Darlehen (LKG RE 6,9 Mio. BU 4,6 Mio., bereinigt: NRP netto RE 5,6 Mio. BU 8,8 Mio. und Waldgesetz netto RE -0,6 Mio. BU 0 Mio. )</t>
  </si>
  <si>
    <t xml:space="preserve">vom Bund finanzierte Darlehen (LKG RE 0, BU 4,4 Mio., NRP netto RE 0,7 Mio. BU 5,0 Mio., IK Waldgesetz netto RE -0,4 Mio. BU 0,3 Mio.), vom RW ausgenommene Vorhaben (vorfinanzierter IB Bau Albulatunnel RE 8,4 Mio. BU 8,0 Mio., Sinergia RE 3,1 Mio. BU 5,0 Mio.) </t>
  </si>
  <si>
    <t>vom Bund fin. Darl. (LKG RE 0,4 Mio. BU 4,4 Mio., NRP netto RE 4,7 Mio. BU 4,9 Mio., IK Waldg. netto RE 0,3 Mio. BU 0,3 Mio.), vom RW ausgen.Vorh. (Sinergia RE 1,6 Mio. BU 6,0 Mio., JVA Cazis netto RE 4,5 Mio. BU 8,9 Mio, Erschliessungskosten Sägereiareal Domat/Ems RE 0,8 Mio. BU 0), BU umstellungsbedingt: IB priv. Mittelschulen 3,7 Mio., BIF 16,0 Mio., baul. Unterh. Liegensch. VV 6,8 Mio.</t>
  </si>
  <si>
    <t>ausgewählte Aufwandgruppen der Erfolgsrechnung Kanton Graubünden seit 1997</t>
  </si>
  <si>
    <t>ausgewählte Ertragsgruppen der Erfolgsrechnung Kanton Graubünden seit 1997</t>
  </si>
  <si>
    <r>
      <rPr>
        <vertAlign val="superscript"/>
        <sz val="10"/>
        <rFont val="Arial Narrow"/>
        <family val="2"/>
      </rPr>
      <t>1)</t>
    </r>
    <r>
      <rPr>
        <sz val="10"/>
        <rFont val="Arial Narrow"/>
        <family val="2"/>
      </rPr>
      <t xml:space="preserve"> Investitionsausgaben minus Investitionseinnahmen</t>
    </r>
  </si>
  <si>
    <r>
      <t xml:space="preserve">Budget </t>
    </r>
    <r>
      <rPr>
        <b/>
        <vertAlign val="superscript"/>
        <sz val="10"/>
        <color theme="1"/>
        <rFont val="Arial Narrow"/>
        <family val="2"/>
      </rPr>
      <t xml:space="preserve">3) </t>
    </r>
    <r>
      <rPr>
        <b/>
        <sz val="10"/>
        <color theme="1"/>
        <rFont val="Arial Narrow"/>
        <family val="2"/>
      </rPr>
      <t>(BU)</t>
    </r>
  </si>
  <si>
    <r>
      <rPr>
        <vertAlign val="superscript"/>
        <sz val="10"/>
        <rFont val="Arial Narrow"/>
        <family val="2"/>
      </rPr>
      <t>3)</t>
    </r>
    <r>
      <rPr>
        <sz val="10"/>
        <rFont val="Arial Narrow"/>
        <family val="2"/>
      </rPr>
      <t xml:space="preserve"> Budget ohne Nachtragskredite</t>
    </r>
  </si>
  <si>
    <r>
      <rPr>
        <vertAlign val="superscript"/>
        <sz val="10"/>
        <rFont val="Arial Narrow"/>
        <family val="2"/>
      </rPr>
      <t>2)</t>
    </r>
    <r>
      <rPr>
        <sz val="10"/>
        <rFont val="Arial Narrow"/>
        <family val="2"/>
      </rPr>
      <t xml:space="preserve"> bis 2012 Nettoinvestitionen bereinigt um ausserordentliche Investitionen, ab 2013 richtwertrelelevante Nettoinvestitionen</t>
    </r>
  </si>
  <si>
    <t>Bemerkungen zu nicht richtwertrelevanten Nettoinvestitionen</t>
  </si>
  <si>
    <t>3 Gesamt-aufwand</t>
  </si>
  <si>
    <t>4 Gesamt-ertrag</t>
  </si>
  <si>
    <t>5 Investitions-ausgaben</t>
  </si>
  <si>
    <t>6 Investitions-einnahmen</t>
  </si>
  <si>
    <t>2900.6200 Vermögens-stand</t>
  </si>
  <si>
    <t>20 Fremd-
kapital</t>
  </si>
  <si>
    <t>10 Finanz-vermögen</t>
  </si>
  <si>
    <t>40 Fiskal-ertrag</t>
  </si>
  <si>
    <t>(20 Fremdkapital - 10 Finanzvermögen) x 100</t>
  </si>
  <si>
    <t>40 Fiskalertrag</t>
  </si>
  <si>
    <t>340 Zins-aufwand</t>
  </si>
  <si>
    <t>440 Zins-
ertrag</t>
  </si>
  <si>
    <t>(340 Zinsaufwand - 440 Zinsertrag) x 100</t>
  </si>
  <si>
    <t>20 Fremdkapital - 10 Finanzvermögen</t>
  </si>
  <si>
    <t>Durchschnittswerte (Ø) pro vierjährige Regierungsprogrammperiode (RP)</t>
  </si>
  <si>
    <t>Ø RP
 09-12</t>
  </si>
  <si>
    <t>Ø RP
 13-16</t>
  </si>
  <si>
    <t>Ø  RP 17-20</t>
  </si>
  <si>
    <r>
      <t>Gesamt-ergebnis</t>
    </r>
    <r>
      <rPr>
        <b/>
        <vertAlign val="superscript"/>
        <sz val="10"/>
        <color theme="1"/>
        <rFont val="Arial Narrow"/>
        <family val="2"/>
      </rPr>
      <t>1)</t>
    </r>
  </si>
  <si>
    <r>
      <t xml:space="preserve">Nettoinvesti-tionen I </t>
    </r>
    <r>
      <rPr>
        <b/>
        <vertAlign val="superscript"/>
        <sz val="10"/>
        <color theme="1"/>
        <rFont val="Arial Narrow"/>
        <family val="2"/>
      </rPr>
      <t>2)</t>
    </r>
  </si>
  <si>
    <r>
      <t xml:space="preserve">Nettoinvesti-tionen II </t>
    </r>
    <r>
      <rPr>
        <b/>
        <vertAlign val="superscript"/>
        <sz val="10"/>
        <color theme="1"/>
        <rFont val="Arial Narrow"/>
        <family val="2"/>
      </rPr>
      <t>3)</t>
    </r>
  </si>
  <si>
    <r>
      <t>Finanzierungs-saldo</t>
    </r>
    <r>
      <rPr>
        <b/>
        <vertAlign val="superscript"/>
        <sz val="10"/>
        <color theme="1"/>
        <rFont val="Arial Narrow"/>
        <family val="2"/>
      </rPr>
      <t>4)</t>
    </r>
  </si>
  <si>
    <r>
      <t>Selbst-finanzierung</t>
    </r>
    <r>
      <rPr>
        <b/>
        <vertAlign val="superscript"/>
        <sz val="10"/>
        <color theme="1"/>
        <rFont val="Arial Narrow"/>
        <family val="2"/>
      </rPr>
      <t>5)</t>
    </r>
  </si>
  <si>
    <r>
      <t>Selbstfinan-zierungsgrad</t>
    </r>
    <r>
      <rPr>
        <b/>
        <vertAlign val="superscript"/>
        <sz val="10"/>
        <color theme="1"/>
        <rFont val="Arial Narrow"/>
        <family val="2"/>
      </rPr>
      <t>6)</t>
    </r>
  </si>
  <si>
    <r>
      <rPr>
        <vertAlign val="superscript"/>
        <sz val="10"/>
        <color theme="1"/>
        <rFont val="Arial Narrow"/>
        <family val="2"/>
      </rPr>
      <t xml:space="preserve">2) </t>
    </r>
    <r>
      <rPr>
        <sz val="10"/>
        <color theme="1"/>
        <rFont val="Arial Narrow"/>
        <family val="2"/>
      </rPr>
      <t>Investitionsausgaben (5) - Investitionseinnahmen (6)</t>
    </r>
  </si>
  <si>
    <r>
      <rPr>
        <vertAlign val="superscript"/>
        <sz val="10"/>
        <color theme="1"/>
        <rFont val="Arial Narrow"/>
        <family val="2"/>
      </rPr>
      <t>3)</t>
    </r>
    <r>
      <rPr>
        <sz val="10"/>
        <color theme="1"/>
        <rFont val="Arial Narrow"/>
        <family val="2"/>
      </rPr>
      <t xml:space="preserve"> bis 2012 Nettoinvestitionen bereinigt um ausserordentliche Investitionen, ab 2013 richtwertrelelevante Nettoinvestitionen, siehe Tabellenblatt "Ergebnisse Investitionsrechnung"</t>
    </r>
  </si>
  <si>
    <r>
      <rPr>
        <vertAlign val="superscript"/>
        <sz val="10"/>
        <color theme="1"/>
        <rFont val="Arial Narrow"/>
        <family val="2"/>
      </rPr>
      <t>4)</t>
    </r>
    <r>
      <rPr>
        <sz val="10"/>
        <color theme="1"/>
        <rFont val="Arial Narrow"/>
        <family val="2"/>
      </rPr>
      <t xml:space="preserve"> bis 2012 Selbstfinanzierung - Nettoinvestitionen II, ab 2013 Selbstfinanzierung - Nettoinvestitionen I</t>
    </r>
  </si>
  <si>
    <r>
      <rPr>
        <vertAlign val="superscript"/>
        <sz val="10"/>
        <color theme="1"/>
        <rFont val="Arial Narrow"/>
        <family val="2"/>
      </rPr>
      <t>6)</t>
    </r>
    <r>
      <rPr>
        <sz val="10"/>
        <color theme="1"/>
        <rFont val="Arial Narrow"/>
        <family val="2"/>
      </rPr>
      <t xml:space="preserve">  bis 2012 Selbstfinanzierung in Prozent der Nettoinvestitionen II, ab 2013 Selbstfinanzierung in Prozent der Nettoinvestitionen I.</t>
    </r>
  </si>
  <si>
    <r>
      <t>2013</t>
    </r>
    <r>
      <rPr>
        <b/>
        <vertAlign val="superscript"/>
        <sz val="10"/>
        <rFont val="Arial Narrow"/>
        <family val="2"/>
      </rPr>
      <t>3)</t>
    </r>
  </si>
  <si>
    <t>sonderfinanzierte Darlehen an ALV (RE 22,3 Mio., BU 0) und Darlehensrückzahlungen der ALV (RE 0, BU -4,1 Mio.)</t>
  </si>
  <si>
    <t>sonderfinanzierte Darlehen an ALV (RE 29,1 Mio. BU 5,9 Mio.) und Darlehensrückzahlungen der ALV (RE -8,4 Mio., BU 0)</t>
  </si>
  <si>
    <t>sonderfinanzierte Darlehen an LKG (RE 1,2 Mio., BU 0) und Darlehensrückzahlungen der ALV (RE -9,6 Mio., BU 0)</t>
  </si>
  <si>
    <t>sonderfinanzierte Darlehen an LKG (RE 6,6 Mio., BU 0) und Darlehensrückzahlungen der ALV (RE -19,0 Mio. BU -2,4 Mio.)</t>
  </si>
  <si>
    <t>bereinigt: vom Bund finanzierte Darlehen (LKG RE 0,3 Mio. BU 1,0 Mio., NRP RE 1,7 Mio. BU 3,0 Mio. ) und a.o. Gratiserwerb Beteiligung KW Zervreila (RE 6,3 Mio. BU 0). In Nettoinvest. II enthalten sind die RE-Botschaft erwähnten zusätzlichen IB von 9 Mio. an BGS, zusätzl. NFA-bedingten IB von 11,4 Mio. im Forst und Darlehen gem. GWE von 1,3 Mio.</t>
  </si>
  <si>
    <t>vom Bund finanzierte Darlehen (LKG RE 2,4 Mio. BU 4,6 Mio., NRP netto RE 5,5 Mio. BU 7,8 Mio., Waldgesetz netto RE -0,24 Mio. BU 0,15 Mio.)</t>
  </si>
  <si>
    <t xml:space="preserve">vom Bund finanzierte Darlehen (LKG RE 0,4 Mio. BU 4,4 Mio., NRP netto RE 1,2 Mio. BU 5,0 Mio., IK Waldgesetz netto RE -0,1 Mio. BU 0,2 Mio.), vom RW ausgenommene Vorhaben (Sinergia RE 0,1 Mio. BU 7,1 Mio.) </t>
  </si>
  <si>
    <t xml:space="preserve">vom Bund finanzierte Darlehen (LKG RE 0,4 Mio. BU 4,4 Mio., NRP netto RE  1,3 Mio. BU 4,7 Mio., IK Waldgesetz netto RE -0,3 Mio. BU 0,8 Mio.), vom RW ausgenommene Vorhaben (vorfinanzierter IB Bau Albulatunnel RE 3,5 Mio. BU 0, Sinergia RE 0,5 Mio. BU 2,8 Mio.) </t>
  </si>
  <si>
    <t>vom Bund finanzierte Darlehen (LKG RE -0,0 Mio. BU 0,3 Mio, NRP netto RE 0,8 Mio. BU 4,3 Mio., IK Waldgesetz netto RE -0,2 Mio. BU 0,2 Mio.), vom RW ausgenommene Vorhaben (Grundstücke, Baurechte und Erschliessungen gem. GWE netto RE -1,3 Mio. BU 1,1 Mio., VK systemrelevante Infrastrukturen RE 4,5 Mio. BU 11 Mio., Sinergia RE 12,4 Mio. BU 13,5 Mio., JVA Cazis Tignez netto RE 4,7 Mio. BU 14,5 Mio., SF Strassen RE 54,1 Mio. BU 77,0 Mio, Impulsprogramm Hochbau- und Wald  netto RE 2,3 Mio. BU 2,3 Mio.)</t>
  </si>
  <si>
    <t>RE 1997</t>
  </si>
  <si>
    <t>RE 1998</t>
  </si>
  <si>
    <t>RE 1999</t>
  </si>
  <si>
    <t>RE 2000</t>
  </si>
  <si>
    <t>RE 2001</t>
  </si>
  <si>
    <t>RE 2002</t>
  </si>
  <si>
    <t>RE 2003</t>
  </si>
  <si>
    <t>RE 2004</t>
  </si>
  <si>
    <t>RE 2005</t>
  </si>
  <si>
    <t>RE 2006</t>
  </si>
  <si>
    <t>RE 2007</t>
  </si>
  <si>
    <t>RE 2008</t>
  </si>
  <si>
    <t>RE 2009</t>
  </si>
  <si>
    <t>RE 2010</t>
  </si>
  <si>
    <t>RE 2011</t>
  </si>
  <si>
    <t>RE 2012</t>
  </si>
  <si>
    <t>RE 2013</t>
  </si>
  <si>
    <t>RE 2014</t>
  </si>
  <si>
    <t>RE 2015</t>
  </si>
  <si>
    <t>RE 2016</t>
  </si>
  <si>
    <t>RE 2017</t>
  </si>
  <si>
    <t>RE 2018</t>
  </si>
  <si>
    <t>RE 2019</t>
  </si>
  <si>
    <t>RE 2020</t>
  </si>
  <si>
    <t>Selbstfinanzierung</t>
  </si>
  <si>
    <t xml:space="preserve">
Gesamt-ergebnis ER (3. Stufe)</t>
  </si>
  <si>
    <t>+
Einlagen in Fonds und SF (35)</t>
  </si>
  <si>
    <t>-
Entnahmen aus Fonds und SF (45)</t>
  </si>
  <si>
    <t>+
 Einlagen Eigenkapital (389)</t>
  </si>
  <si>
    <t>+
 buchw. a.o. Finanzaufw. (5111.3841)</t>
  </si>
  <si>
    <t>-
buchw. a.o. Finanzertrag (5111.4841)</t>
  </si>
  <si>
    <t>+
Wertberichtig. Darlehen VV (364)</t>
  </si>
  <si>
    <t>+
Abschreib. Invest.-beitr. (366)</t>
  </si>
  <si>
    <t>-
 Entn. Eigenkap. (489)</t>
  </si>
  <si>
    <t>Selbst-finanzierung*</t>
  </si>
  <si>
    <t>Gesamt-ausgaben**</t>
  </si>
  <si>
    <t>vom Bund fin. Darl. (LKG RE 0, BU 2,4 Mio., NRP netto RE 1,8 Mio., BU 7,3 Mio., IK Waldg. netto RE -0,5 Mio., BU 0,3 Mio.), vom RW ausgen. Vorh. (Sägereiareal Domat/Ems RE 3,3 Mio., BU 5,0 Mio, VK systemrelevante Infrastrukturen RE 2,6 Mio., BU 3,3 Mio., Sinergia RE 9,6 Mio., BU 9,0 Mio., JVA Cazis Tignez netto RE 17,9 Mio., BU 18,2 Mio, SF Strassen RE netto 57,0 Mio., BU 67,8 Mio, Impulsprogramm Hochbau- und Wald  netto RE 3,4 Mio, BU 3,8 Mio.)</t>
  </si>
  <si>
    <t>vom Bund fin. Darl. (LKG RE 0, BU 2,4 Mio., NRP netto RE 1,6 Mio. BU 4,6 Mio., IK Waldgesetz netto RE - 0,6 Mio. BU 0,2 Mio.), vom RW ausgenommene Vorhaben (Sägereiareal Domat/Ems RE 1,5 Mio. BU 5,5 Mio, VK systemrelevante Infrastrukturen RE 6,4 Mio. BU 6,0 Mio., Sinergia RE 15,5 Mio. BU 19,0 Mio., JVA Cazis Tignez netto RE 24,9 Mio. BU 28,9 Mio, SF Strassen RE 52,3 Mio. BU 68,3 Mio, Impulsprogramm Hochbau- und Wald netto RE 3,5 Mio BU 2,9 Mio.)</t>
  </si>
  <si>
    <t>vom Bund finanzierte Darlehen (NRP netto RE -0,5 Mio. BU 3,9 Mio., IK Waldgesetz netto RE 0 BU 0,3 Mio.), vom RW ausgenommene Vorhaben (Grundstücke, Baurechte und Erschliessungen gem. GWE netto RE 1,7 Mio. BU 2,0 Mio., VK systemrelevante Infrastrukturen RE 4,8 Mio. BU 10,0 Mio., Sinergia RE 24,0 Mio. BU 24,0 Mio., JVA Cazis Tignez netto RE 25,2 Mio. BU 23,1 Mio., SF Strassen netto RE 49,0 Mio. BU 77,5 Mio, Impulsprogramm Hochbau- und Wald  netto RE 2,4 Mio. BU 2,4 Mio.)</t>
  </si>
  <si>
    <t>Ø  RP 21-24</t>
  </si>
  <si>
    <t>Budget 1997</t>
  </si>
  <si>
    <t>Budget 1998</t>
  </si>
  <si>
    <t>Budget 1999</t>
  </si>
  <si>
    <t>Budget 2000</t>
  </si>
  <si>
    <t>Budget 2001</t>
  </si>
  <si>
    <t>Budget 2002</t>
  </si>
  <si>
    <t>Budget 2003</t>
  </si>
  <si>
    <t>Budget 2004</t>
  </si>
  <si>
    <t>Budget 2005</t>
  </si>
  <si>
    <t>Budget 2006</t>
  </si>
  <si>
    <t>Budget 2007</t>
  </si>
  <si>
    <t>Budget 2008</t>
  </si>
  <si>
    <t>Budget 2009</t>
  </si>
  <si>
    <t>Budget 2010</t>
  </si>
  <si>
    <t>Budget 2011</t>
  </si>
  <si>
    <t>Budget 2012</t>
  </si>
  <si>
    <t>Budget 2013</t>
  </si>
  <si>
    <t>Budget 2014</t>
  </si>
  <si>
    <t>Budget 2015</t>
  </si>
  <si>
    <t>Budget 2016</t>
  </si>
  <si>
    <t>Budget 2017</t>
  </si>
  <si>
    <t>Budget 2018</t>
  </si>
  <si>
    <t>Budget 2019</t>
  </si>
  <si>
    <t>Budget 2020</t>
  </si>
  <si>
    <t>Budget 2021</t>
  </si>
  <si>
    <t>RW Personalstopp</t>
  </si>
  <si>
    <t>RW Verzicht auf kostenwirksame Stellenschaffungen</t>
  </si>
  <si>
    <t>RW max. real +1 %</t>
  </si>
  <si>
    <r>
      <t>Gesamtlohnsumme</t>
    </r>
    <r>
      <rPr>
        <sz val="7.5"/>
        <rFont val="Arial Narrow"/>
        <family val="2"/>
      </rPr>
      <t xml:space="preserve"> (301 + 302)</t>
    </r>
  </si>
  <si>
    <t>davon Gesamtlohnsumme Verwaltung (ohne Gerichte)</t>
  </si>
  <si>
    <t>---</t>
  </si>
  <si>
    <t>Wachstum der Gesamtlohnsumme (ab BU 2021 ohne Gerichte)</t>
  </si>
  <si>
    <t>Wachstum der Gesamtlohnsumme in Prozent (ab BU 2021 ohne Gerichte)</t>
  </si>
  <si>
    <t>(-3 475)</t>
  </si>
  <si>
    <t>(-1 441)</t>
  </si>
  <si>
    <t>(-1 500)</t>
  </si>
  <si>
    <t>(-1 200)</t>
  </si>
  <si>
    <t>(-737)</t>
  </si>
  <si>
    <t>(-3 600)</t>
  </si>
  <si>
    <t>(-1 100)</t>
  </si>
  <si>
    <t>- davon vom Grossen Rat vom Richtwert mit seperaten Beschlüssen ausgenommene Lohnsummenerhöhungen</t>
  </si>
  <si>
    <t>(-2 169)</t>
  </si>
  <si>
    <t>(-5 523)</t>
  </si>
  <si>
    <t>(-2 489)</t>
  </si>
  <si>
    <t>(-1 097)</t>
  </si>
  <si>
    <t>(-2 434)</t>
  </si>
  <si>
    <t>(-2 398)</t>
  </si>
  <si>
    <t>(-1 166)</t>
  </si>
  <si>
    <t>(-4 545)</t>
  </si>
  <si>
    <t>(-2 395)</t>
  </si>
  <si>
    <t>(-840)</t>
  </si>
  <si>
    <t>+/- davon Veränderung pauschale Korrektur Lohnaufwand (Konto 5121.301014, BU 2013 zus. Korrektur Einstiegslöhne)</t>
  </si>
  <si>
    <t>(200)</t>
  </si>
  <si>
    <t>(- 3540)</t>
  </si>
  <si>
    <t>(- 1 740)</t>
  </si>
  <si>
    <t>(- 3 720)</t>
  </si>
  <si>
    <t xml:space="preserve">   =  Wachstum der für den Richtwert Nr. 6 massgebenden Gesamtlohnsumme (ab BU 2021 ohne Gerichte)</t>
  </si>
  <si>
    <t>Wachstum der für den Richtwert Nr. 6 massgebenden Gesamtlohnsumme in Prozent  (ab BU 2021 ohne Gerichte)</t>
  </si>
  <si>
    <t>(1 186)</t>
  </si>
  <si>
    <t>(0)</t>
  </si>
  <si>
    <t>(2 300)</t>
  </si>
  <si>
    <t>(1 740)</t>
  </si>
  <si>
    <t>(240)</t>
  </si>
  <si>
    <t>(1 800)</t>
  </si>
  <si>
    <t>(1 200)</t>
  </si>
  <si>
    <t>davon nicht beitragsfinanzierte Stellenschaffungen Gerichte / FIKO (bis BU 2021)</t>
  </si>
  <si>
    <t>Definition Richtwert (RW)</t>
  </si>
  <si>
    <r>
      <rPr>
        <b/>
        <sz val="7.5"/>
        <rFont val="Arial Narrow"/>
        <family val="2"/>
      </rPr>
      <t>Finanzplanbeschluss Nr. 7 Regierungsprogramm 1997-2000</t>
    </r>
    <r>
      <rPr>
        <sz val="7.5"/>
        <rFont val="Arial Narrow"/>
        <family val="2"/>
      </rPr>
      <t xml:space="preserve">
Der Personalstopp ist für kostenwirksame Stellenschaffungen im direkten Einflussbereich des Kantons streng zu beachten. Die Geschäftsprüfungskommission kann insbesondere für Fälle aufgrund kantonsexterner Vorgaben und neuer kantonaler Aufgaben Ausnahmen bewilligen.
(Botschaft Heft Nr. 3/1996-1997, Seite 201)</t>
    </r>
  </si>
  <si>
    <t>33 Stellen RAV mehrheitlich vom Bund finanziert, +kostenwirksame Stellenschaffungen, +Polizeischule</t>
  </si>
  <si>
    <t>weitgehend kostenneutrale Erhöhung um 3 Stellenplanstellen und zusätzliche Aushilfen für RAV und ALK</t>
  </si>
  <si>
    <r>
      <rPr>
        <b/>
        <sz val="7.5"/>
        <rFont val="Arial Narrow"/>
        <family val="2"/>
      </rPr>
      <t xml:space="preserve">Personalstopp eingehalten </t>
    </r>
    <r>
      <rPr>
        <sz val="7.5"/>
        <rFont val="Arial Narrow"/>
        <family val="2"/>
      </rPr>
      <t>(Streichung 1 Stelle)</t>
    </r>
  </si>
  <si>
    <r>
      <t xml:space="preserve">Anordnung von 2 Tagen unbezahltem Urlaub (-1,9 Mio.) / </t>
    </r>
    <r>
      <rPr>
        <b/>
        <sz val="7.5"/>
        <rFont val="Arial Narrow"/>
        <family val="2"/>
      </rPr>
      <t>Personalstopp eingehalten</t>
    </r>
    <r>
      <rPr>
        <sz val="7.5"/>
        <rFont val="Arial Narrow"/>
        <family val="2"/>
      </rPr>
      <t xml:space="preserve"> (Streichung von 2 Stellen)</t>
    </r>
  </si>
  <si>
    <r>
      <rPr>
        <b/>
        <sz val="7.5"/>
        <rFont val="Arial Narrow"/>
        <family val="2"/>
      </rPr>
      <t>Finanzplanbeschluss Nr. 7 Regierungsprogramm 2001-2004</t>
    </r>
    <r>
      <rPr>
        <sz val="7.5"/>
        <rFont val="Arial Narrow"/>
        <family val="2"/>
      </rPr>
      <t xml:space="preserve">
Der Personalstopp ist weiterzuführen. Stellen zur Bewältigung neuer Aufgaben sind in erster Linie durch interne Verschiebungen bereitzustellen.
(Botschaft Heft Nr. 1/2000-2001, Seite 115)</t>
    </r>
  </si>
  <si>
    <r>
      <rPr>
        <b/>
        <sz val="7.5"/>
        <rFont val="Arial Narrow"/>
        <family val="2"/>
      </rPr>
      <t>Personalstopp nicht vollumfänglich eingehalten (</t>
    </r>
    <r>
      <rPr>
        <sz val="7.5"/>
        <rFont val="Arial Narrow"/>
        <family val="2"/>
      </rPr>
      <t>Erhöhung um netto 3 Stellen, netto +0,4 Mio. LS kostenwirksame Stellenschaffungen)</t>
    </r>
  </si>
  <si>
    <r>
      <t xml:space="preserve">-31,097 Mio. LS Ausgliederung 400 Stellen PDGR / </t>
    </r>
    <r>
      <rPr>
        <b/>
        <sz val="7.5"/>
        <rFont val="Arial Narrow"/>
        <family val="2"/>
      </rPr>
      <t>Personalstopp nicht vollumfänglich eingehalten</t>
    </r>
    <r>
      <rPr>
        <sz val="7.5"/>
        <rFont val="Arial Narrow"/>
        <family val="2"/>
      </rPr>
      <t xml:space="preserve"> (Erhöhung um netto 10,5 Stellen (inkl. 6 bei GRiforma DS), +1 Mio. LS kostenwirksame Stellenschaffungen, +1,4 Mio. LS Polizeischule, + Erhöhungen Aushilfenkredite, +kostenwirksame Stellenumwandlungen.)</t>
    </r>
  </si>
  <si>
    <r>
      <t>-1,4 Mio. LS Ausgliederungen 14 Stellen BGS, -4,8 Mio. LS div. Einsparungen gem. Nachtrags-BU (zusätzlich zu Stellen-Verzicht) /</t>
    </r>
    <r>
      <rPr>
        <b/>
        <sz val="7.5"/>
        <rFont val="Arial Narrow"/>
        <family val="2"/>
      </rPr>
      <t xml:space="preserve"> Personalstopp nicht vollumfänglich eingehalten </t>
    </r>
    <r>
      <rPr>
        <sz val="7.5"/>
        <rFont val="Arial Narrow"/>
        <family val="2"/>
      </rPr>
      <t>(Erhöhung im BU um netto 11 Stellen (inkl. 6 bei GRiforma DS), davon aber 6 im Rahmen des Nachtrags-BU wieder gestrichen/umgelagert).</t>
    </r>
  </si>
  <si>
    <r>
      <rPr>
        <b/>
        <sz val="7.5"/>
        <rFont val="Arial Narrow"/>
        <family val="2"/>
      </rPr>
      <t xml:space="preserve">Personalstopp eingehalten </t>
    </r>
    <r>
      <rPr>
        <sz val="7.5"/>
        <rFont val="Arial Narrow"/>
        <family val="2"/>
      </rPr>
      <t>(kostenneutrale Erhöhungen um 6,5 Stellen für Sozialdienst Chur und um 5 Stellen für Steuerverwaltung, kostenneutrale Stellenschaffungen, Polizeischule, Erhöhung Aushilfekredit und Erhöhung Kinderzulagen insgesamt +3,5 Mio. LS)</t>
    </r>
  </si>
  <si>
    <r>
      <rPr>
        <b/>
        <sz val="7.5"/>
        <rFont val="Arial Narrow"/>
        <family val="2"/>
      </rPr>
      <t>Finanzplanbeschluss Nr. 7 Regierungsprogramm 2005-2008</t>
    </r>
    <r>
      <rPr>
        <sz val="7.5"/>
        <rFont val="Arial Narrow"/>
        <family val="2"/>
      </rPr>
      <t xml:space="preserve">
Der Personalstopp für kostenwirksame Stellenschaffungen ist weiterzuführen. Vorbehalten bleibt eine Ablösung der Stellenplanbewirtschaftung durch eine Steuerung der Gesamtlohnsumme. Zu beachten sind im Besonderen die Vorgaben zum Abbau der Personalstellen im Rahmen der Struktur- und Sanierungsmassnahmen des Kantons.
(Botschaft Heft Nr. 1/2004-2005, Seite 73)</t>
    </r>
  </si>
  <si>
    <r>
      <t xml:space="preserve">+1,2 Mio. LS für Lehrkräfte Aufbau und Überführung Lehrerseminar an PHGR /  </t>
    </r>
    <r>
      <rPr>
        <b/>
        <sz val="7.5"/>
        <rFont val="Arial Narrow"/>
        <family val="2"/>
      </rPr>
      <t>Personalstopp eingehalten</t>
    </r>
    <r>
      <rPr>
        <sz val="7.5"/>
        <rFont val="Arial Narrow"/>
        <family val="2"/>
      </rPr>
      <t xml:space="preserve"> (+2,7 Mio. LS für RAV und AM, mehrheitlich vom Bund finanziert, +0,8 Mio. LS für kostenneutrale Erhöhung um 9 Stellen für Schwerverkehrskontrolle, Streichung von 83,7 Stellen Auftrag Feltscher, )</t>
    </r>
  </si>
  <si>
    <r>
      <t>-18,9 Mio. LS Ausgliederung 189,9 Stellen Frauenspital Fontana und PH, -3,1 Mio. Kinderzulagen Änderung Verbuchung /</t>
    </r>
    <r>
      <rPr>
        <b/>
        <sz val="7.5"/>
        <rFont val="Arial Narrow"/>
        <family val="2"/>
      </rPr>
      <t xml:space="preserve"> Personalstopp eingehalten </t>
    </r>
    <r>
      <rPr>
        <sz val="7.5"/>
        <rFont val="Arial Narrow"/>
        <family val="2"/>
      </rPr>
      <t>(+1,4 Mio. kostenneutrale LSE, Streichung 37,05 Stellen Auftrag Feltscher mit LS-Reduktion von 4,7 Mio.)</t>
    </r>
  </si>
  <si>
    <r>
      <t xml:space="preserve">+2,6 Mio. LS Personalgesetzrevision / </t>
    </r>
    <r>
      <rPr>
        <b/>
        <sz val="7.5"/>
        <rFont val="Arial Narrow"/>
        <family val="2"/>
      </rPr>
      <t>Personalstopp nicht eingehalten</t>
    </r>
    <r>
      <rPr>
        <sz val="7.5"/>
        <rFont val="Arial Narrow"/>
        <family val="2"/>
      </rPr>
      <t xml:space="preserve"> (3,8 Mio. LSE Stellen und Aushilfen, wird mit rund 1,5 Mio. durch Dritte und vom Bund (RAV) finanziert)</t>
    </r>
  </si>
  <si>
    <r>
      <rPr>
        <b/>
        <sz val="7.5"/>
        <rFont val="Arial Narrow"/>
        <family val="2"/>
      </rPr>
      <t xml:space="preserve">Personalstopp durch Steuerung der Gesamtlohnsumme abgelöst </t>
    </r>
    <r>
      <rPr>
        <sz val="7.5"/>
        <rFont val="Arial Narrow"/>
        <family val="2"/>
      </rPr>
      <t>(Globalkredit für Stellenschaffungen 2,94 Mio., wird mit gut 1,2 Mio. durch Dritte finanziert)</t>
    </r>
  </si>
  <si>
    <r>
      <rPr>
        <b/>
        <sz val="7.5"/>
        <rFont val="Arial Narrow"/>
        <family val="2"/>
      </rPr>
      <t>Finanzpolitischer Richtwert Nr. 6 Regierungsprogramm 2009-2012</t>
    </r>
    <r>
      <rPr>
        <sz val="7.5"/>
        <rFont val="Arial Narrow"/>
        <family val="2"/>
      </rPr>
      <t xml:space="preserve">
Auf kostenwirksame Stellenschaffungen in der kantonalen Verwaltung ist grundsätzlich zu verzichten. </t>
    </r>
    <r>
      <rPr>
        <i/>
        <sz val="7.5"/>
        <rFont val="Arial Narrow"/>
        <family val="2"/>
      </rPr>
      <t xml:space="preserve">Zusätzliche personelle Ressourcen zur Bewältigung neuer Aufgaben sind durch interne Verschiebungen bereitzustellen. Ausgenommen von dieser Regelung ist eine allenfalls nach Vorliegen des Polizeiberichts vorgenommene Erhöhung des Personalbestandes bei der Kantonspolizei. Vorbehalten bleiben zudem Personalanpassungen im Rahmen der Bündner NFA. </t>
    </r>
    <r>
      <rPr>
        <sz val="7.5"/>
        <rFont val="Arial Narrow"/>
        <family val="2"/>
      </rPr>
      <t xml:space="preserve">(Botschaft Heft Nr. 13/2007-2008, Seite </t>
    </r>
    <r>
      <rPr>
        <i/>
        <sz val="7.5"/>
        <rFont val="Arial Narrow"/>
        <family val="2"/>
      </rPr>
      <t xml:space="preserve">759 </t>
    </r>
    <r>
      <rPr>
        <sz val="7.5"/>
        <rFont val="Arial Narrow"/>
        <family val="2"/>
      </rPr>
      <t>und 776)</t>
    </r>
  </si>
  <si>
    <r>
      <t xml:space="preserve">+3,6 Mio. Reallohnerhöhung / </t>
    </r>
    <r>
      <rPr>
        <b/>
        <sz val="7.5"/>
        <rFont val="Arial Narrow"/>
        <family val="2"/>
      </rPr>
      <t>Verzicht auf kostenwirksame Stellenschaffungen nicht eingehalten</t>
    </r>
    <r>
      <rPr>
        <sz val="7.5"/>
        <rFont val="Arial Narrow"/>
        <family val="2"/>
      </rPr>
      <t xml:space="preserve"> (Globalkredit für Stellenschaffungen 0,977 Mio., wird mit 0,24 Mio. durch Dritte finanziert, 4 kostenwirksame Stellenumwandlungen)</t>
    </r>
  </si>
  <si>
    <r>
      <t xml:space="preserve">+1,2 Mio. Reallohnerhöhung / </t>
    </r>
    <r>
      <rPr>
        <b/>
        <sz val="7.5"/>
        <rFont val="Arial Narrow"/>
        <family val="2"/>
      </rPr>
      <t>Verzicht auf kostenwirksame Stellenschaffungen nicht eingehalten</t>
    </r>
    <r>
      <rPr>
        <sz val="7.5"/>
        <rFont val="Arial Narrow"/>
        <family val="2"/>
      </rPr>
      <t xml:space="preserve"> (+5,4 Mio. LS für 51,45 neue Stellen die zu rund 2/3 durch Einnahmen von Dritten oder durch Minderaufwand finanziert werden)</t>
    </r>
  </si>
  <si>
    <r>
      <rPr>
        <b/>
        <sz val="7.5"/>
        <rFont val="Arial Narrow"/>
        <family val="2"/>
      </rPr>
      <t>Verzicht auf kostenwirksame Stellenschaffungen nicht eingehalten</t>
    </r>
    <r>
      <rPr>
        <sz val="7.5"/>
        <rFont val="Arial Narrow"/>
        <family val="2"/>
      </rPr>
      <t xml:space="preserve"> (+2,7 Mio. LS für 28,8 neue Stellen wovon 1,5 Mio. durch Einnahmen von Dritten oder durch Minderaufwand finanziert werden)</t>
    </r>
  </si>
  <si>
    <r>
      <rPr>
        <b/>
        <sz val="7.5"/>
        <rFont val="Arial Narrow"/>
        <family val="2"/>
      </rPr>
      <t xml:space="preserve">Verzicht auf kostenwirksame Stellenschaffungen eingehalten </t>
    </r>
    <r>
      <rPr>
        <sz val="7.5"/>
        <rFont val="Arial Narrow"/>
        <family val="2"/>
      </rPr>
      <t>(+1,1 Mio. LS für 11,4 Stellen durch Einnahmen von Dritten oder durch Minderaufwendungen finanziert)</t>
    </r>
  </si>
  <si>
    <r>
      <rPr>
        <b/>
        <sz val="7.5"/>
        <rFont val="Arial Narrow"/>
        <family val="2"/>
      </rPr>
      <t>Finanzpolitischer Richtwert Nr. 6 Regierungsprogramm 2013-2016</t>
    </r>
    <r>
      <rPr>
        <sz val="7.5"/>
        <rFont val="Arial Narrow"/>
        <family val="2"/>
      </rPr>
      <t xml:space="preserve">
Die budgetierte Gesamtlohnsumme darf pro Jahr real um höchstens 1,0 Prozent zunehmen. Zur Finanzierung zusätzlicher personeller Ressourcen sind jährlich mindestens 0,5 Prozent der Gesamtlohnsumme bereitzustellen. Vorbehalten bleiben befristet eingesetzte Personalressourcen, die vollständig durch Beiträge Dritter finanziert werden.
(Botschaft Heft Nr. 11/2011-2012, Seite 1322)</t>
    </r>
  </si>
  <si>
    <r>
      <rPr>
        <b/>
        <sz val="7.5"/>
        <rFont val="Arial Narrow"/>
        <family val="2"/>
      </rPr>
      <t>Zunahme budgetierte Gesamtlohnsumme real max. +1  % eingehalten</t>
    </r>
    <r>
      <rPr>
        <sz val="7.5"/>
        <rFont val="Arial Narrow"/>
        <family val="2"/>
      </rPr>
      <t xml:space="preserve"> (-0,65 %, Vorbehalt durch Umstellung HRM1 auf HRM2, 4,459 Mio. LSE für 38,5 Stellen KESB im Rahmen der Umsetzung des Kindes- und Erwachsenschutzrechts vom RW ausgenommen) </t>
    </r>
  </si>
  <si>
    <r>
      <rPr>
        <b/>
        <sz val="7.5"/>
        <rFont val="Arial Narrow"/>
        <family val="2"/>
      </rPr>
      <t>Zunahme budgetierte Gesamtlohnsumme real max. +1 % eingehalten</t>
    </r>
    <r>
      <rPr>
        <sz val="7.5"/>
        <rFont val="Arial Narrow"/>
        <family val="2"/>
      </rPr>
      <t xml:space="preserve"> (+0,42 %)</t>
    </r>
  </si>
  <si>
    <r>
      <rPr>
        <b/>
        <sz val="7.5"/>
        <rFont val="Arial Narrow"/>
        <family val="2"/>
      </rPr>
      <t>Zunahme budgetierte Gesamtlohnsumme real max. +1 % eingehalten</t>
    </r>
    <r>
      <rPr>
        <sz val="7.5"/>
        <rFont val="Arial Narrow"/>
        <family val="2"/>
      </rPr>
      <t xml:space="preserve"> (+0,97 %)</t>
    </r>
  </si>
  <si>
    <r>
      <rPr>
        <b/>
        <sz val="7.5"/>
        <rFont val="Arial Narrow"/>
        <family val="2"/>
      </rPr>
      <t xml:space="preserve">Zunahme budgetierte Gesamtlohnsumme real max. +1 % eingehalten </t>
    </r>
    <r>
      <rPr>
        <sz val="7.5"/>
        <rFont val="Arial Narrow"/>
        <family val="2"/>
      </rPr>
      <t>(+0,74 %</t>
    </r>
    <r>
      <rPr>
        <vertAlign val="superscript"/>
        <sz val="7.5"/>
        <rFont val="Arial Narrow"/>
        <family val="2"/>
      </rPr>
      <t>1)</t>
    </r>
    <r>
      <rPr>
        <sz val="7.5"/>
        <rFont val="Arial Narrow"/>
        <family val="2"/>
      </rPr>
      <t xml:space="preserve"> , 0,5 Mio. LSE KAPO im Rahmen des Polizeiberichts vom RW ausgenommen)</t>
    </r>
  </si>
  <si>
    <r>
      <rPr>
        <b/>
        <sz val="7.5"/>
        <rFont val="Arial Narrow"/>
        <family val="2"/>
      </rPr>
      <t>Finanzpolitischer Richtwert Nr. 6 Regierungsprogramm 2017-2020</t>
    </r>
    <r>
      <rPr>
        <sz val="7.5"/>
        <rFont val="Arial Narrow"/>
        <family val="2"/>
      </rPr>
      <t xml:space="preserve">
Die budgetierte Gesamtlohnsumme darf real um höchstens 1,0 Prozent zunehmen. Davon ausgenommen sind Personalressourcen, soweit sie vollständig durch Beiträge Dritter finanziert werden.
(Botschaft Heft Nr. 12/2015-2016, Seite 887)</t>
    </r>
  </si>
  <si>
    <r>
      <rPr>
        <b/>
        <sz val="7.5"/>
        <rFont val="Arial Narrow"/>
        <family val="2"/>
      </rPr>
      <t xml:space="preserve">Zunahme budgetierte Gesamtlohnsumme real max. +1 % eingehalten </t>
    </r>
    <r>
      <rPr>
        <sz val="7.5"/>
        <rFont val="Arial Narrow"/>
        <family val="2"/>
      </rPr>
      <t>(+0,82 %, 4,382 Mio. LSE im Rahmen der Gebietsreform für die Überführung der Regionalgerichte vom RW ausgenommen)</t>
    </r>
  </si>
  <si>
    <r>
      <rPr>
        <b/>
        <sz val="7.5"/>
        <rFont val="Arial Narrow"/>
        <family val="2"/>
      </rPr>
      <t>Zunahme budgetierte Gesamtlohnsumme real max. +1 % eingehalten</t>
    </r>
    <r>
      <rPr>
        <sz val="7.5"/>
        <rFont val="Arial Narrow"/>
        <family val="2"/>
      </rPr>
      <t xml:space="preserve"> (+0,96 %)</t>
    </r>
  </si>
  <si>
    <r>
      <rPr>
        <b/>
        <sz val="7.5"/>
        <rFont val="Arial Narrow"/>
        <family val="2"/>
      </rPr>
      <t>Zunahme budgetierte Gesamtlohnsumme real max. +1 % eingehalten</t>
    </r>
    <r>
      <rPr>
        <sz val="7.5"/>
        <rFont val="Arial Narrow"/>
        <family val="2"/>
      </rPr>
      <t xml:space="preserve"> (+0,57 %. Gem. Budgetbotschaft um engere Budgetierung der Lehrerlöhne BKS bereinigt +0,89 %. 3,978 Mio. LSE für JVA Cazis Tignez vom RW ausgenommen)</t>
    </r>
  </si>
  <si>
    <r>
      <rPr>
        <b/>
        <sz val="7.5"/>
        <rFont val="Arial Narrow"/>
        <family val="2"/>
      </rPr>
      <t>Finanzpolitischer Richtwert Nr. 6 Regierungsprogramm 2021-2024</t>
    </r>
    <r>
      <rPr>
        <sz val="7.5"/>
        <rFont val="Arial Narrow"/>
        <family val="2"/>
      </rPr>
      <t xml:space="preserve">
Die budgetierte Gesamtlohnsumme der kantonalen Verwaltung darf im Jahresdurchschnitt real um höchstens 1,0 Prozent zunehmen. Davon ausgenommen sind Personalressourcen, soweit die Kosten durch Beiträge Dritter finanziert werden. Der Grosse Rat kann Ausnahmen beschliessen.
(Botschaft Heft Nr. 8/2019-2020, Seite 519)</t>
    </r>
  </si>
  <si>
    <r>
      <t xml:space="preserve">RW max. real +1 % im Jahres - </t>
    </r>
    <r>
      <rPr>
        <sz val="7.5"/>
        <color theme="1"/>
        <rFont val="Symbol"/>
        <family val="1"/>
        <charset val="2"/>
      </rPr>
      <t>Æ</t>
    </r>
  </si>
  <si>
    <r>
      <rPr>
        <b/>
        <sz val="7.5"/>
        <rFont val="Symbol"/>
        <family val="1"/>
        <charset val="2"/>
      </rPr>
      <t>Æ</t>
    </r>
    <r>
      <rPr>
        <b/>
        <sz val="11.25"/>
        <rFont val="Arial Narrow"/>
        <family val="2"/>
      </rPr>
      <t xml:space="preserve"> </t>
    </r>
    <r>
      <rPr>
        <b/>
        <sz val="7.5"/>
        <rFont val="Arial Narrow"/>
        <family val="2"/>
      </rPr>
      <t>Wachstum der für den Richtwert Nr. 6 massgebenden Gesamtlohnsumme in Prozent  (ab BU 2021 ohne Gerichte)</t>
    </r>
  </si>
  <si>
    <t>davon Veränderung Lohnsumme für Bündner Polizeiaspirant/-innen an den Polizeischulen Amriswil und Giubiasco</t>
  </si>
  <si>
    <t>(in Mio. Franken. Mit Blick auf den finanzpolitischen Richtwert Nr. 1 betreffend budgetiertem Aufwandüberschuss)</t>
  </si>
  <si>
    <t>(in Mio. Franken, Mit Blick auf den finanzpolitischen Richtwert Nr. 2 betreffend budgetierte Nettoinvestitionen)</t>
  </si>
  <si>
    <r>
      <t>in % der Gesamt-ausgaben</t>
    </r>
    <r>
      <rPr>
        <b/>
        <vertAlign val="superscript"/>
        <sz val="10"/>
        <color theme="1"/>
        <rFont val="Arial Narrow"/>
        <family val="2"/>
      </rPr>
      <t>4)</t>
    </r>
  </si>
  <si>
    <t>RE</t>
  </si>
  <si>
    <r>
      <t>Gesamt-ausgaben</t>
    </r>
    <r>
      <rPr>
        <b/>
        <vertAlign val="superscript"/>
        <sz val="10"/>
        <color theme="1"/>
        <rFont val="Arial Narrow"/>
        <family val="2"/>
      </rPr>
      <t>4)</t>
    </r>
  </si>
  <si>
    <t>- 
Ertragsant. Zuschl.St. (5315.360)</t>
  </si>
  <si>
    <t>+
Aufwand
ER
 (3)</t>
  </si>
  <si>
    <t>-
Wertbericht. Forderungen (3180)</t>
  </si>
  <si>
    <t>- 
Abschreib.
VV
 (33)</t>
  </si>
  <si>
    <t>- 
Wertbericht.
Anlagen FV
 (344)</t>
  </si>
  <si>
    <t>-
Wertbericht. Darl. + Bet. VV
(364, 365)</t>
  </si>
  <si>
    <t>- 
Abschreib. Invest. Beitr.
(366)</t>
  </si>
  <si>
    <t>-
Durchlauf. Beiträge
(37)</t>
  </si>
  <si>
    <t>-
interne Verrechnungen
(39)</t>
  </si>
  <si>
    <t xml:space="preserve">=
Laufende Ausgaben
</t>
  </si>
  <si>
    <t xml:space="preserve">=
Brutto-investitionen
</t>
  </si>
  <si>
    <t>+ Ausgaben IR 
(5)</t>
  </si>
  <si>
    <t>-
Durchl. Invest.Beitr.
(57)</t>
  </si>
  <si>
    <t>+ Laufende Ausgaben</t>
  </si>
  <si>
    <t>+ Bruttoinvestitionen</t>
  </si>
  <si>
    <t>+
Abschreibung VV
 (33)</t>
  </si>
  <si>
    <t>-
Einlagen in 
Fonds u. SF
(35)</t>
  </si>
  <si>
    <t>-
buchw. a.o. Finanzaufw.
(5111.3841)</t>
  </si>
  <si>
    <t>-
Einlagen Eigenkapital (389)</t>
  </si>
  <si>
    <t>=</t>
  </si>
  <si>
    <t xml:space="preserve">
Gesamt-ausgaben</t>
  </si>
  <si>
    <r>
      <rPr>
        <vertAlign val="superscript"/>
        <sz val="10"/>
        <rFont val="Arial Narrow"/>
        <family val="2"/>
      </rPr>
      <t xml:space="preserve">4)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</si>
  <si>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rFont val="Arial Narrow"/>
        <family val="2"/>
      </rPr>
      <t xml:space="preserve">7) </t>
    </r>
    <r>
      <rPr>
        <sz val="10"/>
        <rFont val="Arial Narrow"/>
        <family val="2"/>
      </rPr>
      <t>bis 2012: Aufwand Laufende Rechnung brutto + Ausgaben Investitionsrechnung brutto - Abschreibungen Verwaltungsvermögen - interne Verrechnungen - Einlagen in Fonds und Reserven - durchlaufende Beiträge. Ab 2013: Siehe Tabellenblatt "HRM2-Kennzahlen ab 2013".</t>
    </r>
  </si>
  <si>
    <r>
      <rPr>
        <vertAlign val="superscript"/>
        <sz val="10"/>
        <color theme="1"/>
        <rFont val="Arial Narrow"/>
        <family val="2"/>
      </rPr>
      <t>8)</t>
    </r>
    <r>
      <rPr>
        <sz val="10"/>
        <color theme="1"/>
        <rFont val="Arial Narrow"/>
        <family val="2"/>
      </rPr>
      <t xml:space="preserve"> Laufende Verbindlichkeiten (200) + Kurzfristige Finanzverbindlichkeiten (201) - Kurzfristige derivative Finanzinstrumente (2016) + Langfristige Finanzverbindlichkeiten (206) - Langfristige derivative Finanzinstrumente (2066) </t>
    </r>
  </si>
  <si>
    <r>
      <rPr>
        <vertAlign val="superscript"/>
        <sz val="10"/>
        <color theme="1"/>
        <rFont val="Arial Narrow"/>
        <family val="2"/>
      </rPr>
      <t>9)</t>
    </r>
    <r>
      <rPr>
        <sz val="10"/>
        <color theme="1"/>
        <rFont val="Arial Narrow"/>
        <family val="2"/>
      </rPr>
      <t xml:space="preserve"> Fremdkapital (20) - Finanzvermögen (10)</t>
    </r>
  </si>
  <si>
    <r>
      <t>Gesamt-ausgaben</t>
    </r>
    <r>
      <rPr>
        <b/>
        <vertAlign val="superscript"/>
        <sz val="10"/>
        <color theme="1"/>
        <rFont val="Arial Narrow"/>
        <family val="2"/>
      </rPr>
      <t>7)</t>
    </r>
  </si>
  <si>
    <r>
      <t>Brutto-schulden</t>
    </r>
    <r>
      <rPr>
        <b/>
        <vertAlign val="superscript"/>
        <sz val="10"/>
        <color theme="1"/>
        <rFont val="Arial Narrow"/>
        <family val="2"/>
      </rPr>
      <t>8)</t>
    </r>
  </si>
  <si>
    <r>
      <t xml:space="preserve">Netto-schulden I </t>
    </r>
    <r>
      <rPr>
        <b/>
        <vertAlign val="superscript"/>
        <sz val="10"/>
        <color theme="1"/>
        <rFont val="Arial Narrow"/>
        <family val="2"/>
      </rPr>
      <t>9)</t>
    </r>
  </si>
  <si>
    <r>
      <t xml:space="preserve">Netto-schulden II </t>
    </r>
    <r>
      <rPr>
        <b/>
        <vertAlign val="superscript"/>
        <sz val="10"/>
        <color theme="1"/>
        <rFont val="Arial Narrow"/>
        <family val="2"/>
      </rPr>
      <t>10)</t>
    </r>
  </si>
  <si>
    <r>
      <t>29 Gesamt-Eigenkapital</t>
    </r>
    <r>
      <rPr>
        <b/>
        <vertAlign val="superscript"/>
        <sz val="10"/>
        <color theme="1"/>
        <rFont val="Arial Narrow"/>
        <family val="2"/>
      </rPr>
      <t>11)</t>
    </r>
  </si>
  <si>
    <t>(RE = Rechnung, BU= Budget, in Mio. Franken)</t>
  </si>
  <si>
    <r>
      <t xml:space="preserve">1) </t>
    </r>
    <r>
      <rPr>
        <sz val="10"/>
        <color theme="1"/>
        <rFont val="Arial Narrow"/>
        <family val="2"/>
      </rPr>
      <t>Gesamtertrag (4) - Gesamtaufwand (3); Gesamtergebnis Erfolgsrechnung; ab 2013 Ergebnis 3. Stufe; bis 2012 Gesamtergebnis inklusive ausserordentlichem Aufwand und Ertrag</t>
    </r>
  </si>
  <si>
    <t>(RE = Rechnung, BU= Budget, in Mio. Franken, Spaltenbezeichnungen gemäss HRM2-Terminologie)</t>
  </si>
  <si>
    <r>
      <t>RE 2013</t>
    </r>
    <r>
      <rPr>
        <b/>
        <vertAlign val="superscript"/>
        <sz val="10"/>
        <color theme="1"/>
        <rFont val="Arial Narrow"/>
        <family val="2"/>
      </rPr>
      <t>1)</t>
    </r>
  </si>
  <si>
    <t>(in Mio. Franken, Spaltenbezeichnungen gemäss HRM2-Terminologie)</t>
  </si>
  <si>
    <r>
      <rPr>
        <vertAlign val="superscript"/>
        <sz val="10"/>
        <color theme="1"/>
        <rFont val="Arial Narrow"/>
        <family val="2"/>
      </rPr>
      <t xml:space="preserve">1) </t>
    </r>
    <r>
      <rPr>
        <sz val="10"/>
        <color theme="1"/>
        <rFont val="Arial Narrow"/>
        <family val="2"/>
      </rPr>
      <t xml:space="preserve">ab 2013 HRM2-Berechnung. 1997-2012 ohne HRM2-Restatement (Umgliederungen/Kontoverschiebungen). </t>
    </r>
  </si>
  <si>
    <r>
      <rPr>
        <vertAlign val="superscript"/>
        <sz val="10"/>
        <color theme="1"/>
        <rFont val="Arial Narrow"/>
        <family val="2"/>
      </rPr>
      <t>3)</t>
    </r>
    <r>
      <rPr>
        <sz val="10"/>
        <color theme="1"/>
        <rFont val="Arial Narrow"/>
        <family val="2"/>
      </rPr>
      <t xml:space="preserve"> 360: Ertragsanteile an Dritte, 361: Entschädigungen an öffentliche Gemeinwesen, 369: Übriger Transferaufwand</t>
    </r>
  </si>
  <si>
    <r>
      <rPr>
        <vertAlign val="superscript"/>
        <sz val="10"/>
        <color theme="1"/>
        <rFont val="Arial Narrow"/>
        <family val="2"/>
      </rPr>
      <t>4)</t>
    </r>
    <r>
      <rPr>
        <sz val="10"/>
        <color theme="1"/>
        <rFont val="Arial Narrow"/>
        <family val="2"/>
      </rPr>
      <t xml:space="preserve"> 362: Finanz- und Lastenausgleich</t>
    </r>
  </si>
  <si>
    <r>
      <rPr>
        <vertAlign val="superscript"/>
        <sz val="10"/>
        <color theme="1"/>
        <rFont val="Arial Narrow"/>
        <family val="2"/>
      </rPr>
      <t>5)</t>
    </r>
    <r>
      <rPr>
        <sz val="10"/>
        <color theme="1"/>
        <rFont val="Arial Narrow"/>
        <family val="2"/>
      </rPr>
      <t xml:space="preserve"> 363: Beiträge an öffentliche Gemeinwesen und Dritte (HRM1: 36: Eigene Beiträge)</t>
    </r>
  </si>
  <si>
    <r>
      <rPr>
        <vertAlign val="superscript"/>
        <sz val="10"/>
        <color theme="1"/>
        <rFont val="Arial Narrow"/>
        <family val="2"/>
      </rPr>
      <t>6)</t>
    </r>
    <r>
      <rPr>
        <sz val="10"/>
        <color theme="1"/>
        <rFont val="Arial Narrow"/>
        <family val="2"/>
      </rPr>
      <t xml:space="preserve"> 364: Wertberichtigungen Darlehen VV, 366: Abschreibungen Investitionsbeiträge</t>
    </r>
  </si>
  <si>
    <r>
      <rPr>
        <vertAlign val="superscript"/>
        <sz val="10"/>
        <color theme="1"/>
        <rFont val="Arial Narrow"/>
        <family val="2"/>
      </rPr>
      <t xml:space="preserve">1) </t>
    </r>
    <r>
      <rPr>
        <sz val="10"/>
        <color theme="1"/>
        <rFont val="Arial Narrow"/>
        <family val="2"/>
      </rPr>
      <t>ab 2013 HRM2-Berechnung. 1997-2012 ohne HRM2-Restatement (Umgliederungen/Kontoverschiebungen).</t>
    </r>
  </si>
  <si>
    <r>
      <rPr>
        <vertAlign val="superscript"/>
        <sz val="10"/>
        <color theme="1"/>
        <rFont val="Arial Narrow"/>
        <family val="2"/>
      </rPr>
      <t>2)</t>
    </r>
    <r>
      <rPr>
        <sz val="10"/>
        <color theme="1"/>
        <rFont val="Arial Narrow"/>
        <family val="2"/>
      </rPr>
      <t xml:space="preserve"> Transferertrag 1997-2012: 44 Anteile und Beiträge ohne Zweckbindung, 45 Rückerstatttungen von Gemeinwesen, 46 Beiträge für eigene Rechnung.</t>
    </r>
  </si>
  <si>
    <r>
      <t>3 + 5
 Gesamt-ausgaben</t>
    </r>
    <r>
      <rPr>
        <b/>
        <vertAlign val="superscript"/>
        <sz val="10"/>
        <color theme="1"/>
        <rFont val="Arial Narrow"/>
        <family val="2"/>
      </rPr>
      <t>1)</t>
    </r>
  </si>
  <si>
    <r>
      <t>4 + 6
 Gesamt-einnahmen</t>
    </r>
    <r>
      <rPr>
        <b/>
        <vertAlign val="superscript"/>
        <sz val="10"/>
        <color theme="1"/>
        <rFont val="Arial Narrow"/>
        <family val="2"/>
      </rPr>
      <t>2)</t>
    </r>
  </si>
  <si>
    <r>
      <t>Ergebnis</t>
    </r>
    <r>
      <rPr>
        <b/>
        <vertAlign val="superscript"/>
        <sz val="10"/>
        <color theme="1"/>
        <rFont val="Arial Narrow"/>
        <family val="2"/>
      </rPr>
      <t>4)</t>
    </r>
  </si>
  <si>
    <r>
      <t>2005</t>
    </r>
    <r>
      <rPr>
        <b/>
        <vertAlign val="superscript"/>
        <sz val="10"/>
        <color theme="1"/>
        <rFont val="Arial Narrow"/>
        <family val="2"/>
      </rPr>
      <t xml:space="preserve"> 5)</t>
    </r>
  </si>
  <si>
    <r>
      <t>2012</t>
    </r>
    <r>
      <rPr>
        <b/>
        <vertAlign val="superscript"/>
        <sz val="10"/>
        <color theme="1"/>
        <rFont val="Arial Narrow"/>
        <family val="2"/>
      </rPr>
      <t>6)</t>
    </r>
  </si>
  <si>
    <r>
      <t>2016</t>
    </r>
    <r>
      <rPr>
        <b/>
        <vertAlign val="superscript"/>
        <sz val="10"/>
        <color theme="1"/>
        <rFont val="Arial Narrow"/>
        <family val="2"/>
      </rPr>
      <t>7)</t>
    </r>
  </si>
  <si>
    <r>
      <rPr>
        <vertAlign val="superscript"/>
        <sz val="10"/>
        <color theme="1"/>
        <rFont val="Arial Narrow"/>
        <family val="2"/>
      </rPr>
      <t xml:space="preserve">3) </t>
    </r>
    <r>
      <rPr>
        <sz val="10"/>
        <color theme="1"/>
        <rFont val="Arial Narrow"/>
        <family val="2"/>
      </rPr>
      <t>Budget ohne Nachtragskredite</t>
    </r>
  </si>
  <si>
    <r>
      <rPr>
        <vertAlign val="superscript"/>
        <sz val="10"/>
        <color theme="1"/>
        <rFont val="Arial Narrow"/>
        <family val="2"/>
      </rPr>
      <t>5)</t>
    </r>
    <r>
      <rPr>
        <sz val="10"/>
        <color theme="1"/>
        <rFont val="Arial Narrow"/>
        <family val="2"/>
      </rPr>
      <t xml:space="preserve"> Gesamteinnahmen exkl. a.o.Einlage von 85 Mio. Franken im Zusammenhang mit Erlösanteil aus Verkauf Goldreserve der SNB</t>
    </r>
  </si>
  <si>
    <r>
      <rPr>
        <vertAlign val="superscript"/>
        <sz val="10"/>
        <color theme="1"/>
        <rFont val="Arial Narrow"/>
        <family val="2"/>
      </rPr>
      <t>6)</t>
    </r>
    <r>
      <rPr>
        <sz val="10"/>
        <color theme="1"/>
        <rFont val="Arial Narrow"/>
        <family val="2"/>
      </rPr>
      <t xml:space="preserve"> Vermögensstand gemäss HRM2-Eröffnungsbilanz per 1. Januar 2013 (siehe Budgetbotschaft 2014, Seite 256)</t>
    </r>
  </si>
  <si>
    <r>
      <rPr>
        <vertAlign val="superscript"/>
        <sz val="10"/>
        <color theme="1"/>
        <rFont val="Arial Narrow"/>
        <family val="2"/>
      </rPr>
      <t>7)</t>
    </r>
    <r>
      <rPr>
        <sz val="10"/>
        <color theme="1"/>
        <rFont val="Arial Narrow"/>
        <family val="2"/>
      </rPr>
      <t xml:space="preserve"> Seit 2016 gesetzliche Begrenzung Guthaben Spezialfinanzierung Strassen auf max. 100 Mio. Franken. Per 1. Januar 2016 wurden Beitragsrückstellungen von 4,1 Millionen aufgelöst und dem Vermögen zugeschlagen. </t>
    </r>
  </si>
  <si>
    <t>Jahresrechnung</t>
  </si>
  <si>
    <r>
      <t>Budget</t>
    </r>
    <r>
      <rPr>
        <b/>
        <vertAlign val="superscript"/>
        <sz val="10"/>
        <color theme="1"/>
        <rFont val="Arial Narrow"/>
        <family val="2"/>
      </rPr>
      <t>3)</t>
    </r>
  </si>
  <si>
    <r>
      <rPr>
        <vertAlign val="superscript"/>
        <sz val="10"/>
        <color theme="1"/>
        <rFont val="Arial Narrow"/>
        <family val="2"/>
      </rPr>
      <t>1)</t>
    </r>
    <r>
      <rPr>
        <sz val="10"/>
        <color theme="1"/>
        <rFont val="Arial Narrow"/>
        <family val="2"/>
      </rPr>
      <t xml:space="preserve"> ohne Abschreibungen und ohne durchlaufende Beiträge, inklusive interne Verrechnungen.</t>
    </r>
  </si>
  <si>
    <r>
      <rPr>
        <vertAlign val="superscript"/>
        <sz val="10"/>
        <color theme="1"/>
        <rFont val="Arial Narrow"/>
        <family val="2"/>
      </rPr>
      <t xml:space="preserve">2) </t>
    </r>
    <r>
      <rPr>
        <sz val="10"/>
        <color theme="1"/>
        <rFont val="Arial Narrow"/>
        <family val="2"/>
      </rPr>
      <t>ohne durchlaufende Beiträge, inklusive interne Verrechnungen.</t>
    </r>
  </si>
  <si>
    <t xml:space="preserve">=
Selbst-finanzierung
</t>
  </si>
  <si>
    <t>Staatsquote</t>
  </si>
  <si>
    <r>
      <t>Gesamt-ergebnis</t>
    </r>
    <r>
      <rPr>
        <b/>
        <vertAlign val="superscript"/>
        <sz val="10"/>
        <color theme="1"/>
        <rFont val="Arial Narrow"/>
        <family val="2"/>
      </rPr>
      <t xml:space="preserve">5) </t>
    </r>
    <r>
      <rPr>
        <b/>
        <sz val="10"/>
        <color theme="1"/>
        <rFont val="Arial Narrow"/>
        <family val="2"/>
      </rPr>
      <t>(3. Stufe)</t>
    </r>
  </si>
  <si>
    <r>
      <t>operatives Ergebnis</t>
    </r>
    <r>
      <rPr>
        <b/>
        <vertAlign val="superscript"/>
        <sz val="10"/>
        <color theme="1"/>
        <rFont val="Arial Narrow"/>
        <family val="2"/>
      </rPr>
      <t xml:space="preserve">1) </t>
    </r>
    <r>
      <rPr>
        <b/>
        <sz val="10"/>
        <color theme="1"/>
        <rFont val="Arial Narrow"/>
        <family val="2"/>
      </rPr>
      <t xml:space="preserve">
(1. Stufe)</t>
    </r>
  </si>
  <si>
    <r>
      <t>RE - BU operatives Ergebnis</t>
    </r>
    <r>
      <rPr>
        <b/>
        <vertAlign val="superscript"/>
        <sz val="10"/>
        <color theme="1"/>
        <rFont val="Arial Narrow"/>
        <family val="2"/>
      </rPr>
      <t>1)</t>
    </r>
  </si>
  <si>
    <t xml:space="preserve">Mittelverwendung für innovative Projekte (-14,4 Mio., BU -9,9 Mio.), Verzicht auf pauschale Korrektur Personalkredite (BU -5,7 Mio.),  Periodengerechte Abgrenzung GKB (BU -57,2 Mio.). </t>
  </si>
  <si>
    <t>Enthält Mittelverwendung für innovative Projekte (Kto. 6000.3130903, -0,1 Mio., BU -0,2 Mio.) und Umstellungseffekte HRM2 / Steuerabgrenzungsprinzip (45,2 Mio.), Gewinnausschüttung SNB 0 (BU 16,3 Mio.)</t>
  </si>
  <si>
    <t>Enthält Zusatzausschüttung SNB (31,2 Mio., BU 15,9 Mio.)</t>
  </si>
  <si>
    <t>Enthält 10,2 Mio. Erlös aus Verkauf von Beteiligungen und Aufwertungsgewinn auf Wertschriften FV (BU: 11,3 Mio.)</t>
  </si>
  <si>
    <t>Enthält 10,5 Mio. Erlös aus Verkauf von Beteiligungen und Aufwertungsgewinn auf Wertschriften FV (BU: 10,0 Mio.)</t>
  </si>
  <si>
    <t>a.o. Ergebnis
(2. Stufe)</t>
  </si>
  <si>
    <t>Enthält 17,1 Mio. Erlös Verkauf Beteiligungen, Aufwertungsgewinn Wertschriften FV und Höherbewertung Liegenschaften FV (BU: 15 Mio.)</t>
  </si>
  <si>
    <t>ohne Vorzeichen: Ertragsüberschuss / Negatives Vorzeichen: Aufwandüberschuss, FV: Finanzvermögen, VV: Verwaltungsvermögen</t>
  </si>
  <si>
    <t>Enthält 13,2 Mio. nicht budget. Buchgewinne Übertrag Liegenschaften VV auf FV und Bewertungskorrekturen (davon SF Strassen 3,7 Mio.)</t>
  </si>
  <si>
    <t>Enthält 1,1 Mio. nicht budget. Aufwertung von Liegenschaften FV und VV.</t>
  </si>
  <si>
    <t>Enthält nicht budget. Gewinnausschüttung SNB (15,9 Mio.)</t>
  </si>
  <si>
    <t>Enthält doppelte Gewinnausschüttung SNB (31,4 Mio., BU 15,9 Mio.) und nicht budget. Rückerstattungen von Subventionen durch PostAuto AG (14,6 Mio.)</t>
  </si>
  <si>
    <t xml:space="preserve">Enthält vierfache Gewinnausschüttung SNB (62,1 Mio., BU 15,5 Mio.), nicht budget. Jubiläumsdividende GKB (12,6 Mio.) und nicht budget. Nettobelastung durch Covid-19-Pandemie (-60,3 Mio.) </t>
  </si>
  <si>
    <t>nicht budget. zus. Abschreibungen Liegensch. und Investitionsbeiträge (-17,1 Mio.) und a.o. Zuweisung allgem. Staatsmitteln an SF Strassen (-12,7 Mio.)</t>
  </si>
  <si>
    <t>Enthält 3,6 Mio. nicht budget. Erlös aus Verkauf von Beteiligungen</t>
  </si>
  <si>
    <t>Enthält 6,1 Mio. nicht budget. Gewinn aus Verkauf und Aufwertung von Wertschriften und Liegenschaften FV und VV.</t>
  </si>
  <si>
    <t>Enthält 5,3 Mio. nicht budget. Gewinn Verkauf und Aufwertung Wertschriften und Liegenschaften FV. Ausweis gem. Jahresrechnung 2006.</t>
  </si>
  <si>
    <t>Enthält 7,3 Mio. nicht budget. Gewinn Verkauf und Bewertung Wertschriften und Liegenschaften FV sowie 5,2 Mio. nicht budget. Dividenden PS GKB.</t>
  </si>
  <si>
    <t>Enthält 3,9 Mio. nicht budget. Erlös aus Verkauf Beteiligungen und 4,9 Mio. budget. Erlös aus Verkauf von Liegenschaften FV.</t>
  </si>
  <si>
    <t xml:space="preserve">Enthält 0,2 Mio. nicht budget. Gewinn aus Verkauf und Bewertung von Wertschriften und Liegenschaften des Finanzvermögens </t>
  </si>
  <si>
    <t>Enthält 7,4 Mio. nicht budget. Gewinn aus Verkauf/Übertrag  und Aufwertung von Anlagen und Wertschriften</t>
  </si>
  <si>
    <t>Enthält 1,4 Mio. nicht budget. Gewinn aus Verkauf/Übertrag  und Aufwertung von Anlagen und Wertschriften</t>
  </si>
  <si>
    <t>Enthält 3,9 Mio. nicht budget. Gewinn aus Verkauf/Übertrag  und Aufwertung von Anlagen und Wertschriften</t>
  </si>
  <si>
    <t>Enthält 5,2 Mio. nicht budget. Gewinn aus Verkauf/Übertrag  und Aufwertung von Anlagen und Wertschriften</t>
  </si>
  <si>
    <t xml:space="preserve">nicht budget. Aufwertungsgewinn PS GKB (195 Mio.) und Mittelverwendung für innovative Projekte (-9,1 Mio., BU -13,5 Mio.) </t>
  </si>
  <si>
    <t>nicht budget. Bewertungskorrekturen Wertschriften FV (14,3 Mio.) und Mittelverwendung für innovative Projekte (-3,4 Mio., BU -5,8 Mio.)</t>
  </si>
  <si>
    <t xml:space="preserve"> nicht budget. Bewertungskorrekturen Wertschriften FV (7,3 Mio.), Mittelverwendung für innovative Projekte (-2,2 Mio., BU -3,2 Mio.)</t>
  </si>
  <si>
    <t>Enthält Mittelverwendung für innovative Projekte (Kto. 2250.3635901/4636901, 6000.3130903, total -3 Mio., BU -3,9 Mio.) und nicht budget. Gewinnausschüttung SNB (16,3 Mio.)</t>
  </si>
  <si>
    <t>nicht budget. a.o. Finanzaufwand (-102,8 Mio.) und a.o. Finanzertrag (29,7 Mio.)</t>
  </si>
  <si>
    <t>Enthält nicht budget. doppelte Gewinnausschüttung SNB (32,0 Mio.) und Mittelverwendung innovative Projekte (Kto. 6000.3130903, -0,2 Mio., BU -0,2 Mio.)</t>
  </si>
  <si>
    <t>Enthält Zusatzausschüttung SNB (27,3 Mio., BU 15,9 Mio.) und nicht budget. Gewinn Teilverkauf Aktien Ems-Chemie Holding AG (16,4 Mio.)</t>
  </si>
  <si>
    <t>Ø RP
 05-08</t>
  </si>
  <si>
    <r>
      <t>operatives Ergebnis</t>
    </r>
    <r>
      <rPr>
        <b/>
        <vertAlign val="superscript"/>
        <sz val="10"/>
        <color theme="1"/>
        <rFont val="Arial Narrow"/>
        <family val="2"/>
      </rPr>
      <t xml:space="preserve">1)
</t>
    </r>
    <r>
      <rPr>
        <b/>
        <sz val="10"/>
        <color theme="1"/>
        <rFont val="Arial Narrow"/>
        <family val="2"/>
      </rPr>
      <t>(1. Stufe)</t>
    </r>
  </si>
  <si>
    <t>nicht richtwert-relevant</t>
  </si>
  <si>
    <r>
      <t>5)</t>
    </r>
    <r>
      <rPr>
        <sz val="10"/>
        <rFont val="Arial Narrow"/>
        <family val="2"/>
      </rPr>
      <t xml:space="preserve"> für den finanzpolitischen Richtwert Nr. 1 relevant. </t>
    </r>
    <r>
      <rPr>
        <sz val="10"/>
        <color theme="6" tint="-0.249977111117893"/>
        <rFont val="Arial Narrow"/>
        <family val="2"/>
      </rPr>
      <t>Grün: Richtwert eingehalten</t>
    </r>
    <r>
      <rPr>
        <sz val="10"/>
        <rFont val="Arial Narrow"/>
        <family val="2"/>
      </rPr>
      <t xml:space="preserve">, </t>
    </r>
    <r>
      <rPr>
        <sz val="10"/>
        <color theme="5" tint="-0.249977111117893"/>
        <rFont val="Arial Narrow"/>
        <family val="2"/>
      </rPr>
      <t>Rot: Richtwert nicht eingehalten</t>
    </r>
    <r>
      <rPr>
        <sz val="10"/>
        <rFont val="Arial Narrow"/>
        <family val="2"/>
      </rPr>
      <t>.</t>
    </r>
  </si>
  <si>
    <r>
      <t xml:space="preserve">in tausend Franken, Budget (BU) ohne Nachtragskredite
</t>
    </r>
    <r>
      <rPr>
        <sz val="7.5"/>
        <color theme="6" tint="-0.249977111117893"/>
        <rFont val="Arial Narrow"/>
        <family val="2"/>
      </rPr>
      <t>Grün: Richtwert Nr. 5 eingehalten</t>
    </r>
    <r>
      <rPr>
        <sz val="7.5"/>
        <color theme="1"/>
        <rFont val="Arial Narrow"/>
        <family val="2"/>
      </rPr>
      <t xml:space="preserve">, </t>
    </r>
    <r>
      <rPr>
        <sz val="7.5"/>
        <color theme="5" tint="-0.249977111117893"/>
        <rFont val="Arial Narrow"/>
        <family val="2"/>
      </rPr>
      <t>Rot: Richtwert Nr. 5 nicht eingehalten.</t>
    </r>
  </si>
  <si>
    <r>
      <t>Netto-
Invest. I</t>
    </r>
    <r>
      <rPr>
        <b/>
        <vertAlign val="superscript"/>
        <sz val="10"/>
        <color theme="1"/>
        <rFont val="Arial Narrow"/>
        <family val="2"/>
      </rPr>
      <t>1)</t>
    </r>
  </si>
  <si>
    <r>
      <t>Netto-
Invest. II</t>
    </r>
    <r>
      <rPr>
        <b/>
        <vertAlign val="superscript"/>
        <sz val="10"/>
        <color theme="1"/>
        <rFont val="Arial Narrow"/>
        <family val="2"/>
      </rPr>
      <t>2)</t>
    </r>
  </si>
  <si>
    <t>Netto-
Invest. I</t>
  </si>
  <si>
    <r>
      <t xml:space="preserve">
Netto-
Invest. II</t>
    </r>
    <r>
      <rPr>
        <b/>
        <vertAlign val="superscript"/>
        <sz val="10"/>
        <color theme="1"/>
        <rFont val="Arial Narrow"/>
        <family val="2"/>
      </rPr>
      <t xml:space="preserve">4) </t>
    </r>
  </si>
  <si>
    <t xml:space="preserve">
in % der Netto-Invest. II</t>
  </si>
  <si>
    <t xml:space="preserve">
RE-BU
Netto-Invest. II</t>
  </si>
  <si>
    <t xml:space="preserve">Gesamt-
aufwand
</t>
  </si>
  <si>
    <t xml:space="preserve">Personal-aufwand
</t>
  </si>
  <si>
    <t>Sach- u. übr. Betr. Aufwand</t>
  </si>
  <si>
    <r>
      <t>Transfer-aufwand</t>
    </r>
    <r>
      <rPr>
        <b/>
        <vertAlign val="superscript"/>
        <sz val="10"/>
        <color theme="1"/>
        <rFont val="Arial Narrow"/>
        <family val="2"/>
      </rPr>
      <t>2)</t>
    </r>
    <r>
      <rPr>
        <b/>
        <sz val="10"/>
        <color theme="1"/>
        <rFont val="Arial Narrow"/>
        <family val="2"/>
      </rPr>
      <t xml:space="preserve">
</t>
    </r>
  </si>
  <si>
    <r>
      <t>davon
360, 361, 369</t>
    </r>
    <r>
      <rPr>
        <b/>
        <vertAlign val="superscript"/>
        <sz val="10"/>
        <color theme="1"/>
        <rFont val="Arial Narrow"/>
        <family val="2"/>
      </rPr>
      <t>3)</t>
    </r>
  </si>
  <si>
    <r>
      <t>davon
362</t>
    </r>
    <r>
      <rPr>
        <b/>
        <vertAlign val="superscript"/>
        <sz val="10"/>
        <color theme="1"/>
        <rFont val="Arial Narrow"/>
        <family val="2"/>
      </rPr>
      <t>4)</t>
    </r>
  </si>
  <si>
    <r>
      <t>davon
363</t>
    </r>
    <r>
      <rPr>
        <b/>
        <vertAlign val="superscript"/>
        <sz val="10"/>
        <color theme="1"/>
        <rFont val="Arial Narrow"/>
        <family val="2"/>
      </rPr>
      <t>5)</t>
    </r>
    <r>
      <rPr>
        <b/>
        <sz val="10"/>
        <color theme="1"/>
        <rFont val="Arial Narrow"/>
        <family val="2"/>
      </rPr>
      <t xml:space="preserve">
</t>
    </r>
  </si>
  <si>
    <r>
      <t>davon
364, 366</t>
    </r>
    <r>
      <rPr>
        <b/>
        <vertAlign val="superscript"/>
        <sz val="10"/>
        <color theme="1"/>
        <rFont val="Arial Narrow"/>
        <family val="2"/>
      </rPr>
      <t xml:space="preserve">6)
</t>
    </r>
  </si>
  <si>
    <t>Durchl. Beiträge</t>
  </si>
  <si>
    <t>Transferaufwand (36)</t>
  </si>
  <si>
    <t>a.o. Aufwand (38)</t>
  </si>
  <si>
    <t>nicht budget. zusätzliche Abschreibungen Hochbauten und Mobiliar (-53,8 Mio.) und Mittelverwendung für innovative Projekte (-56,1 Mio., BU -27,5 Mio.). In Jahresrechnung 2007 nur auf Seite A 12 im Abschnitt 1.1 so ausgewiesen.</t>
  </si>
  <si>
    <r>
      <t>7)</t>
    </r>
    <r>
      <rPr>
        <sz val="10"/>
        <color theme="1"/>
        <rFont val="Arial Narrow"/>
        <family val="2"/>
      </rPr>
      <t xml:space="preserve"> Ausserordentlicher Aufwand 1997-2012:
Bereinigungen 1997-2008 siehe auch Tabellenblatt "Ergebnisse Erfolgsrechnung".   
2005: Verwendung Golderlös SNB 511,2 Mio., a.o. Zuweisung an SF Strassen 10,0 Mio.
2007: zusätzliche Abschreibungen Sachanlagen 53,8 Mio., Mittelverwendung innovative Projekte 56,1 Mio.  
2011: Einlage in SF Finanzausgleich 220 Mio. und Reserve Erneuerung Albulatunnel 40 Mio.</t>
    </r>
  </si>
  <si>
    <r>
      <t>Ausser-ordentl. Aufwand</t>
    </r>
    <r>
      <rPr>
        <b/>
        <vertAlign val="superscript"/>
        <sz val="10"/>
        <color theme="1"/>
        <rFont val="Arial Narrow"/>
        <family val="2"/>
      </rPr>
      <t>7)</t>
    </r>
  </si>
  <si>
    <r>
      <t>davon
384</t>
    </r>
    <r>
      <rPr>
        <b/>
        <vertAlign val="superscript"/>
        <sz val="10"/>
        <color theme="1"/>
        <rFont val="Arial Narrow"/>
        <family val="2"/>
      </rPr>
      <t>8)</t>
    </r>
  </si>
  <si>
    <r>
      <t>davon
389</t>
    </r>
    <r>
      <rPr>
        <b/>
        <vertAlign val="superscript"/>
        <sz val="10"/>
        <color theme="1"/>
        <rFont val="Arial Narrow"/>
        <family val="2"/>
      </rPr>
      <t>9)</t>
    </r>
    <r>
      <rPr>
        <b/>
        <sz val="10"/>
        <color theme="1"/>
        <rFont val="Arial Narrow"/>
        <family val="2"/>
      </rPr>
      <t xml:space="preserve">
</t>
    </r>
  </si>
  <si>
    <r>
      <t>3)</t>
    </r>
    <r>
      <rPr>
        <sz val="10"/>
        <color theme="1"/>
        <rFont val="Arial Narrow"/>
        <family val="2"/>
      </rPr>
      <t xml:space="preserve"> Ausserordentlicher Ertrag 1997-2012:  
2005: Golderlös SNB 511,2 Mio.
2006: Agio Rückzahlung Dotationskapital GKB 99,8 Mio. und Aufwertungsgewinn Umwandlung Dotations- in PS-Kapital GKB 136  Mio. 
2009: Aufwertungsgewinn aus Umwandlung Dotations- in PS-Kapital GKB 184 Mio.</t>
    </r>
  </si>
  <si>
    <t>a.o. Ertrag (48)</t>
  </si>
  <si>
    <t>Gesamt-
ertrag</t>
  </si>
  <si>
    <t>Fiskal-
ertrag</t>
  </si>
  <si>
    <t>Regalien und Konz-essionen</t>
  </si>
  <si>
    <t>Entgelte</t>
  </si>
  <si>
    <t>Finanz-
ertrag</t>
  </si>
  <si>
    <r>
      <t>Transfer-
ertrag</t>
    </r>
    <r>
      <rPr>
        <b/>
        <vertAlign val="superscript"/>
        <sz val="10"/>
        <color theme="1"/>
        <rFont val="Arial Narrow"/>
        <family val="2"/>
      </rPr>
      <t>2)</t>
    </r>
  </si>
  <si>
    <r>
      <t>Ausser-ordentl. Ertrag</t>
    </r>
    <r>
      <rPr>
        <b/>
        <vertAlign val="superscript"/>
        <sz val="10"/>
        <color theme="1"/>
        <rFont val="Arial Narrow"/>
        <family val="2"/>
      </rPr>
      <t>3)</t>
    </r>
  </si>
  <si>
    <r>
      <t>davon 
484</t>
    </r>
    <r>
      <rPr>
        <b/>
        <vertAlign val="superscript"/>
        <sz val="10"/>
        <color theme="1"/>
        <rFont val="Arial Narrow"/>
        <family val="2"/>
      </rPr>
      <t>4)</t>
    </r>
  </si>
  <si>
    <r>
      <t>davon 
489</t>
    </r>
    <r>
      <rPr>
        <b/>
        <vertAlign val="superscript"/>
        <sz val="10"/>
        <color theme="1"/>
        <rFont val="Arial Narrow"/>
        <family val="2"/>
      </rPr>
      <t>5)</t>
    </r>
    <r>
      <rPr>
        <b/>
        <sz val="10"/>
        <color theme="1"/>
        <rFont val="Arial Narrow"/>
        <family val="2"/>
      </rPr>
      <t xml:space="preserve">
</t>
    </r>
  </si>
  <si>
    <r>
      <t>Richtwert
Netto-
Invest. II</t>
    </r>
    <r>
      <rPr>
        <b/>
        <i/>
        <vertAlign val="superscript"/>
        <sz val="10"/>
        <color theme="1"/>
        <rFont val="Arial Narrow"/>
        <family val="2"/>
      </rPr>
      <t>4)</t>
    </r>
  </si>
  <si>
    <r>
      <rPr>
        <i/>
        <sz val="10"/>
        <rFont val="Symbol"/>
        <family val="1"/>
        <charset val="2"/>
      </rPr>
      <t xml:space="preserve">Æ </t>
    </r>
    <r>
      <rPr>
        <i/>
        <sz val="10"/>
        <rFont val="Arial Narrow"/>
        <family val="2"/>
      </rPr>
      <t>230</t>
    </r>
  </si>
  <si>
    <t>Rückzahlung Dotationskapital GKB (RE -20 Mio) und Umwandlung Dotationskapital in PS GKB (RE -20 Mio.),  bereinigt: Darlehen an LKG (RE 0,2 Mio. BU 0,5 Mio.). RW von 170 Mio. bei Ausklammerung eines zinsvergünstigten Darlehens von 10 Mio. und von nicht im FP enthaltenen Investitionsbeiträgen von 4 Mio. an Grosssägerei eingehalten.</t>
  </si>
  <si>
    <t>bereinigt: innovatives Projekt "Erneuerung des Rollmaterials der RhB" (RE 22 Mio. BU 22 Mio.) und Darlehen an LKG (RE 0,7 Mio. BU 3 Mio.). RW von 170 Mio. bei Ausklammerung von nicht im FP enthaltenen Investitionsbeiträgen von 3,5 Mio. an die geplante Grosssägerei und von 4,1 Mio. an den Bau der Porta Alpina eingehalten.</t>
  </si>
  <si>
    <t>vom Bund finanzierte Darlehen (LKG RE 4,3 Mio. BU 0, bereinigt: NRP netto  RE 1,5 Mio. BU 9,2 Mio.),  a.o. Einnahmen aus Umwandlung Dotationskapital GKB (RE 25 Mio. BU 0 ), bereinigt: vom RW ausgenommene Vorhaben (Kauf Grossratsgebäude RE 8,3 Mio. BU 8,8 Mio.). Darlehen gem. Wirtschaftsentwicklungsgesetz (BU netto 1,3 Mio.) entgegen Budgetbotschaft 2016, Seite A39, richtwertrelevant (dort brutto).</t>
  </si>
  <si>
    <r>
      <rPr>
        <vertAlign val="superscript"/>
        <sz val="10"/>
        <color theme="1"/>
        <rFont val="Arial Narrow"/>
        <family val="2"/>
      </rPr>
      <t>5)</t>
    </r>
    <r>
      <rPr>
        <sz val="10"/>
        <color theme="1"/>
        <rFont val="Arial Narrow"/>
        <family val="2"/>
      </rPr>
      <t xml:space="preserve"> bis 2008: Ausgewiesenes Ergebnis Laufende Rechnung + Abschreibungen +/- Veränderung Delkredere-Rückstellungen +/- Zuweisungen/Entnahmen aus SF, Fonds und Reserven, 2005 - Anteil Erlös SNB-Gold - Ertrag Systemwechsel Finanzausgleich. 
Ab 2009 ordentliches Ergebnis Laufende Rechnung + Abschreibungen +/- Zuweisungen/Entnahmen aus SF, Fonds und Reserven, Ab 2013 siehe Tabellenblatt "HRM-Kennzahlen ab 2013"</t>
    </r>
  </si>
  <si>
    <r>
      <rPr>
        <vertAlign val="superscript"/>
        <sz val="10"/>
        <color theme="1"/>
        <rFont val="Arial Narrow"/>
        <family val="2"/>
      </rPr>
      <t>10)</t>
    </r>
    <r>
      <rPr>
        <sz val="10"/>
        <color theme="1"/>
        <rFont val="Arial Narrow"/>
        <family val="2"/>
      </rPr>
      <t xml:space="preserve"> Fremdkapital (20) - Finanzvermögen (10) - Darlehen (144) - Beteiligungen, Grundkapitalien (145); bis 2012: Fremdkapital (20) - Finanzvermögen (10) - Darlehen und Beteiligungen (115), siehe Jahresrechnung 2012, Seite 393</t>
    </r>
  </si>
  <si>
    <t>Anteil des laufenden Ertrages, den die öffentliche Körperschaft zur Finanzierung ihrer Investitionen aufwenden kann.</t>
  </si>
  <si>
    <r>
      <rPr>
        <vertAlign val="superscript"/>
        <sz val="10"/>
        <color theme="1"/>
        <rFont val="Arial Narrow"/>
        <family val="2"/>
      </rPr>
      <t>11)</t>
    </r>
    <r>
      <rPr>
        <sz val="10"/>
        <color theme="1"/>
        <rFont val="Arial Narrow"/>
        <family val="2"/>
      </rPr>
      <t xml:space="preserve"> Im 2013 erhöhte sich das Gesamteigenkapital im Zuge der HRM2-Einführung um total 1 565 Mio. Franken durch Neubewertungen und Umgliederungen. Ab 2015 werden die Steuerguthaben wieder gemäss dem Sollprinzip ausgewiesen. Die Aufwertungs- und Neubewertungsreserven betragen seither 1000 Mio. Franken. Diese werden ausschliesslich im Anhang der Jahresrechnung (Eigenkapitalnachweis) ausgewiesen (ab 2019 verdichtet in einem Betrag).</t>
    </r>
  </si>
  <si>
    <r>
      <rPr>
        <vertAlign val="superscript"/>
        <sz val="10"/>
        <color theme="1"/>
        <rFont val="Arial Narrow"/>
        <family val="2"/>
      </rPr>
      <t xml:space="preserve">2) </t>
    </r>
    <r>
      <rPr>
        <sz val="10"/>
        <color theme="1"/>
        <rFont val="Arial Narrow"/>
        <family val="2"/>
      </rPr>
      <t>Transferaufwand 1997-2012: 34 Anteile und Beiträge ohne Zweckbindung, 35 Enschädigungen an Gemeinwesen für Dienstleistungen, 36 Eigene Beiträge, 5113.3313 Ordentliche Abschreibungen auf Investitionsbeiträgen, 5113.3322 zusätzliche Abschreibungen Investitionsbeiträge, 2250.3319 Abschreibungen Darlehen Wirtschaftsentwicklungsgesetz, 2250.3195 Einlösung Bürgschaftsverpflichtungen, 2250.3196 Anteil Verlust an IHG-Darlehen.</t>
    </r>
  </si>
  <si>
    <t>Budget 2022</t>
  </si>
  <si>
    <t>nicht budget. Aufwertungsgewinn PS GKB (136 Mio.) und Agio auf Rückzahlung Dotationskapital GKB (99,8 Mio.), siehe Botschaft zur Jahresrechnung 2006, Seite A 10.</t>
  </si>
  <si>
    <t>nicht budget. a.o. Zuweisung allgem. Staatsmittel an SF Strassen (-10,0 Mio.). Ausweis gem. Jahresrechnung 2006 (siehe Seite A 10). Enthält 511,2 Mio. SNB-Golderlös sowie  511,2 Mio. Verwendung des SNB-Golderlöses (ergebnisneutral).</t>
  </si>
  <si>
    <t>RE 2021</t>
  </si>
  <si>
    <t>Bestand
31.12.2016</t>
  </si>
  <si>
    <t>Bestand
31.12.2017</t>
  </si>
  <si>
    <t>Bestand
31.12.2018</t>
  </si>
  <si>
    <t>Bestand
31.12.2019</t>
  </si>
  <si>
    <t>Bestand
31.12.2020</t>
  </si>
  <si>
    <t>Bestand
31.12.2021</t>
  </si>
  <si>
    <t>Verfügbares Eigenkapital</t>
  </si>
  <si>
    <t>Zweckgebundenes Eigenkapital</t>
  </si>
  <si>
    <t>290    Spezialfinanzierungen im Eigenkapital</t>
  </si>
  <si>
    <t>293    Vorfinanzierungen</t>
  </si>
  <si>
    <t>+ frei verfügbares Eigenkapital</t>
  </si>
  <si>
    <t>=        verfügbares Eigenkapital</t>
  </si>
  <si>
    <r>
      <rPr>
        <vertAlign val="superscript"/>
        <sz val="10"/>
        <color theme="1"/>
        <rFont val="Arial Narrow"/>
        <family val="2"/>
      </rPr>
      <t>8)</t>
    </r>
    <r>
      <rPr>
        <sz val="10"/>
        <color theme="1"/>
        <rFont val="Arial Narrow"/>
        <family val="2"/>
      </rPr>
      <t xml:space="preserve"> 384: Ausserordentlicher Finanzaufwand (ab 2020 Verluste auf aus übergeordnet politischem Interesse gehaltenen Wertschriften gem. Art. 2b Abs. 3 lit. b FHV)</t>
    </r>
  </si>
  <si>
    <r>
      <t>4)</t>
    </r>
    <r>
      <rPr>
        <sz val="10"/>
        <color theme="1"/>
        <rFont val="Arial Narrow"/>
        <family val="2"/>
      </rPr>
      <t xml:space="preserve"> 484: Ausserordentliche Finanzerträge  (ab 2020 Gewinne auf aus übergeordnet politischem Interesse gehaltenen Wertschriften gem. Art. 2b Abs. 3 lit. b FHV)</t>
    </r>
  </si>
  <si>
    <r>
      <rPr>
        <vertAlign val="superscript"/>
        <sz val="10"/>
        <color theme="1"/>
        <rFont val="Arial Narrow"/>
        <family val="2"/>
      </rPr>
      <t xml:space="preserve">4) </t>
    </r>
    <r>
      <rPr>
        <sz val="10"/>
        <color theme="1"/>
        <rFont val="Arial Narrow"/>
        <family val="2"/>
      </rPr>
      <t xml:space="preserve">für den finanzpolitischen Richtwert Nr. 5 betreffend maximal zulässigen Ausgabenüberschuss relevant. </t>
    </r>
    <r>
      <rPr>
        <sz val="10"/>
        <color theme="6" tint="-0.249977111117893"/>
        <rFont val="Arial Narrow"/>
        <family val="2"/>
      </rPr>
      <t>Grün: Richtwert Nr. 5 eingehalten</t>
    </r>
    <r>
      <rPr>
        <sz val="10"/>
        <color theme="1"/>
        <rFont val="Arial Narrow"/>
        <family val="2"/>
      </rPr>
      <t>,</t>
    </r>
    <r>
      <rPr>
        <sz val="10"/>
        <color theme="5" tint="-0.249977111117893"/>
        <rFont val="Arial Narrow"/>
        <family val="2"/>
      </rPr>
      <t xml:space="preserve"> Rot: Richtwert Nr. 5 nicht eingehalten</t>
    </r>
    <r>
      <rPr>
        <sz val="10"/>
        <color theme="1"/>
        <rFont val="Arial Narrow"/>
        <family val="2"/>
      </rPr>
      <t>.</t>
    </r>
  </si>
  <si>
    <t>Budget 2023</t>
  </si>
  <si>
    <t>+ davon wegfallende vom Grossen Rat vom Richtwert mit seperaten Beschlüssen ausgenommene Lohnsummenerhöhungen</t>
  </si>
  <si>
    <t xml:space="preserve">Enthält sechsfache Gewinnausschüttung SNB (92,7 Mio., BU 62,0 Mio.) und nicht budget. Nettobelastung durch Covid-19-Pandemie (-87,6 Mio.) </t>
  </si>
  <si>
    <t>Ausweis / Herleitung siehe Rechnungsbotschaft 2021, Seite 87</t>
  </si>
  <si>
    <t>in Mio. Franken</t>
  </si>
  <si>
    <t>finanzpolitisch relevantes Eigenkapital</t>
  </si>
  <si>
    <r>
      <rPr>
        <b/>
        <sz val="7.5"/>
        <rFont val="Arial Narrow"/>
        <family val="2"/>
      </rPr>
      <t>Zunahme budgetierte Gesamlohnsumme real max. +1 % im Jahresdurchschnitt eingehalten</t>
    </r>
    <r>
      <rPr>
        <sz val="7.5"/>
        <rFont val="Arial Narrow"/>
        <family val="2"/>
      </rPr>
      <t xml:space="preserve"> (+0,66 %. 2,65 Mio. LSE für VK Führung der Covid-19 Abteilung vom RW augenommen)</t>
    </r>
  </si>
  <si>
    <r>
      <rPr>
        <b/>
        <sz val="7.5"/>
        <rFont val="Arial Narrow"/>
        <family val="2"/>
      </rPr>
      <t>Zunahme budgetierte Gesamlohnsumme real max. +1 % im Jahresdurchschnitt eingehalten</t>
    </r>
    <r>
      <rPr>
        <sz val="7.5"/>
        <rFont val="Arial Narrow"/>
        <family val="2"/>
      </rPr>
      <t xml:space="preserve"> (+0,90 % </t>
    </r>
    <r>
      <rPr>
        <sz val="7.5"/>
        <rFont val="Symbol"/>
        <family val="1"/>
        <charset val="2"/>
      </rPr>
      <t>Æ</t>
    </r>
    <r>
      <rPr>
        <sz val="7.5"/>
        <rFont val="Arial Narrow"/>
        <family val="2"/>
      </rPr>
      <t xml:space="preserve"> Budget 2021 und 2022. 0,99 Mio. LSE für 7,2 FTE KESB vom RW augenommen)</t>
    </r>
  </si>
  <si>
    <r>
      <rPr>
        <b/>
        <sz val="7.5"/>
        <rFont val="Arial Narrow"/>
        <family val="2"/>
      </rPr>
      <t>Zunahme budgetierte Gesamlohnsumme real max. +1 % im Jahresdurchschnitt eingehalten</t>
    </r>
    <r>
      <rPr>
        <sz val="7.5"/>
        <rFont val="Arial Narrow"/>
        <family val="2"/>
      </rPr>
      <t xml:space="preserve"> (+1,00 % </t>
    </r>
    <r>
      <rPr>
        <sz val="7.5"/>
        <rFont val="Symbol"/>
        <family val="1"/>
        <charset val="2"/>
      </rPr>
      <t>Æ</t>
    </r>
    <r>
      <rPr>
        <sz val="7.5"/>
        <rFont val="Arial Narrow"/>
        <family val="2"/>
      </rPr>
      <t xml:space="preserve"> Budget 2021 bis 2023. 2,975 Mio. LSE für 13,0 FTE SOA und 19,0 FTE AFM wegen Ukraine und 0,6 FTE STAKA vom RW augenommen. 1,4 Mio. wegfallende LS für VK Führung der Covid-19 Abteilung)</t>
    </r>
  </si>
  <si>
    <t>- davon Teuerungsausgleich (dezentral + Konto 5121.301013, ab BU 2021 ohne Gerichte)</t>
  </si>
  <si>
    <t>Budget 2024</t>
  </si>
  <si>
    <r>
      <rPr>
        <b/>
        <sz val="7.5"/>
        <rFont val="Arial Narrow"/>
        <family val="2"/>
      </rPr>
      <t>Zunahme budgetierte Gesamtlohnsumme real max. +1 % eingehalten</t>
    </r>
    <r>
      <rPr>
        <sz val="7.5"/>
        <rFont val="Arial Narrow"/>
        <family val="2"/>
      </rPr>
      <t xml:space="preserve"> (+0,93 %</t>
    </r>
    <r>
      <rPr>
        <vertAlign val="superscript"/>
        <sz val="7.5"/>
        <rFont val="Arial Narrow"/>
        <family val="2"/>
      </rPr>
      <t>1)</t>
    </r>
    <r>
      <rPr>
        <sz val="7.5"/>
        <rFont val="Arial Narrow"/>
        <family val="2"/>
      </rPr>
      <t>. Netto 3,294 Mio. LSE für JVA Cazis Tignez vom RW ausgenommen. Beitragsfinanzierte LSE netto 0,2 Mio. davon brutto 0,6 Mio. neue Stellen und 0,4 Mio. Umwandlung Rubrik 3125)</t>
    </r>
  </si>
  <si>
    <t>Bestand
31.12.2015</t>
  </si>
  <si>
    <t>BU 2024</t>
  </si>
  <si>
    <t>RE 2022</t>
  </si>
  <si>
    <t>Bestand
31.12.2022</t>
  </si>
  <si>
    <t xml:space="preserve">Enthält sechsfache Gewinnausschüttung SNB (92,4 Mio., BU 92,7 Mio.) und Nettobelastung durch Covid-19-Pandemie (-8,9 Mio., BU ohne NK 10,2 Mio.) </t>
  </si>
  <si>
    <t>295    Übriges Eigenkapital (für innovative Projekte aus Agio Rückzahlung DK GKB)</t>
  </si>
  <si>
    <r>
      <rPr>
        <b/>
        <sz val="7.5"/>
        <rFont val="Arial Narrow"/>
        <family val="2"/>
      </rPr>
      <t>Zunahme budgetierte Gesamlohnsumme real max. +1 % im Jahresdurchschnitt eingehalten</t>
    </r>
    <r>
      <rPr>
        <sz val="7.5"/>
        <rFont val="Arial Narrow"/>
        <family val="2"/>
      </rPr>
      <t xml:space="preserve"> (+0,99 % </t>
    </r>
    <r>
      <rPr>
        <sz val="7.5"/>
        <rFont val="Symbol"/>
        <family val="1"/>
        <charset val="2"/>
      </rPr>
      <t>Æ</t>
    </r>
    <r>
      <rPr>
        <sz val="7.5"/>
        <rFont val="Arial Narrow"/>
        <family val="2"/>
      </rPr>
      <t xml:space="preserve"> Budget 2021 bis 2024. 1,373 Mio. LSE AFM wegen Ukraine, 3,161 Mio. LSE für Umsetzung Strategie digitale Verwaltung und 0,35 Mio. AFK für Notgrabung Stadthalle Chur vom RW augenommen. 1,0 Mio. wegfallende LS für VK Führung der Covid-19 Abteilung)</t>
    </r>
  </si>
  <si>
    <t xml:space="preserve">Einwohner per 31.12. </t>
  </si>
  <si>
    <t>Nettoschuld/ -vermögen</t>
  </si>
  <si>
    <t>Nettoschuld/ -vermögen pro Einwohner</t>
  </si>
  <si>
    <t>Nettovermögen pro EW in Fr.</t>
  </si>
  <si>
    <t xml:space="preserve">Der Kanton weist ein Nettovermögen und keine Nettoschuld auf. </t>
  </si>
  <si>
    <t xml:space="preserve">Die Kennzahl «Nettovermögen/ -schuld pro EW» wird als Gradmesser für die Vermögenslage / Verschuldung verwendet. </t>
  </si>
  <si>
    <t>Das Finanzvermögen (FV) übersteigt das Fremdkapital (FK), daher das negative Vorzeichen der Kennzahl. Das FV beinhaltet einen hohen Anteil an Aktien und Anteilscheinen, die aus politischem Interesse gehalten werden.</t>
  </si>
  <si>
    <t xml:space="preserve">Die Kennzahlen werden unter Berücksichtigung des buchwirksamen, ausserordentlichen Finanzaufwands/ -ertrags berechnet. Die Selbstfinanzierung enthält die ausserordentlichen Wertberichtigungen auf Finanzanlagen (Kontengruppen 3841/4841). Das verbessert die Aussagekraft dieser Kennzahlen. </t>
  </si>
  <si>
    <t>BU 2025</t>
  </si>
  <si>
    <t>RE 2023</t>
  </si>
  <si>
    <r>
      <rPr>
        <vertAlign val="superscript"/>
        <sz val="10"/>
        <color theme="1"/>
        <rFont val="Arial Narrow"/>
        <family val="2"/>
      </rPr>
      <t>9)</t>
    </r>
    <r>
      <rPr>
        <sz val="10"/>
        <color theme="1"/>
        <rFont val="Arial Narrow"/>
        <family val="2"/>
      </rPr>
      <t xml:space="preserve"> 389: Einlagen in das Eigenkapital:
2015: Vorfinanzierung systemrelevanter Infrastrukturen
2018: Vorfinanzierung Fachhochschulzentrum Graubünden, Chur
2020: Vorfinanzierung digitale Transformation
2021: Vorfinanzierung Green Deal GR
2022: Erhöhung Vorfinanzierung Fachhochschulzentrum Graubünden, Chur</t>
    </r>
  </si>
  <si>
    <r>
      <t>5)</t>
    </r>
    <r>
      <rPr>
        <sz val="10"/>
        <color theme="1"/>
        <rFont val="Arial Narrow"/>
        <family val="2"/>
      </rPr>
      <t xml:space="preserve"> 489: Entnahmen aus dem Eigenkapital (Vorfinanzierungsentnahmen)</t>
    </r>
  </si>
  <si>
    <r>
      <t>Laufender Ertrag</t>
    </r>
    <r>
      <rPr>
        <b/>
        <vertAlign val="superscript"/>
        <sz val="10"/>
        <rFont val="Arial Narrow"/>
        <family val="2"/>
      </rPr>
      <t>1)</t>
    </r>
  </si>
  <si>
    <t>Enthält keine Gewinnausschüttung SNB (BU 61,6 Mio.)</t>
  </si>
  <si>
    <t>nicht budget. Reduktion Zuweisung allgem. Staatsmittel an SF Strassen (8,0 Mio.) und Entnahme Vorfinanzierung Vereina-Bahntunnel (8,9 Mio., BU 8,4 Mio.)</t>
  </si>
  <si>
    <t>nicht budget. zusätzliche Abschreibungen Verwaltungsvermögen (-1,1 Mio.) und Entnahme aus Vorfinanzierung Vereina-Bahntunnel (8,9 Mio., BU 9,36 Mio.)</t>
  </si>
  <si>
    <t>nicht budget. Bewertungskorrekturen Wertschriften FV (5,8 Mio.), Einlage in SF Finanzausgleich (-220 Mio.), Vorfinanzierungsbildung Erneuerung Albulatunnel (-40 Mio.), Mittelverwendung für innovative Projekte (-3,7 Mio., BU -5,0 Mio.)</t>
  </si>
  <si>
    <t>nicht budget. a.o. Finanzaufwand (-64,4 Mio.) und a.o. Finanzertrag (69,5 Mio.) sowie Entnahme aus Vorfinanzierung Albulatunnel RhB (6,4 Mio.)</t>
  </si>
  <si>
    <t>nicht budget. a.o. Finanzaufwand (-92,3 Mio.),  Einlage in Vorfinanzierung systemrelevante Infrastrukturen (-80 Mio.) und a.o. Finanzertrag (120,8 Mio.) sowie Entnahme aus Vorfinanzierung Albulatunnel RhB (8,4 Mio., BU 8 Mio.)</t>
  </si>
  <si>
    <t>nicht budget. a.o. Finanzaufwand (-91,5 Mio.) und a.o. Finanzertrag (19,6 Mio.) sowie Entnahmen aus Vorfinanzierung Albulatunnel RhB (4 Mio., BU 4 Mio.) und aus Vorfinanzierung systemrelevante Infrastrukturen (BU 1 Mio.)</t>
  </si>
  <si>
    <t>nicht budget. a.o. Finanzaufwand (-44,6 Mio.), Einlage in Reserve Hochschulzentrum Chur (-90 Mio.), a.o. Finanzertrag (22,5 Mio.), Entnahmen Vorfinanzierungen Albulatunnel RhB (3,2 Mio., BU 4,1 Mio.) und systemrelevante Infrastrukturen (6,4 Mio., BU 6 Mio.)</t>
  </si>
  <si>
    <t>nicht budget. a.o. Finanzaufwand (-80,4 Mio.), nicht budget. a.o. Finanzertrag (11,5 Mio.), Entnahmen Vorfinanzierungen Albulatunnel RhB (2,2 Mio., BU 3,9 Mio.) und systemrelevante Infrastrukturen (4,8 Mio., BU 10 Mio.)</t>
  </si>
  <si>
    <t xml:space="preserve">nicht budget. a.o. Finanzaufwand (-0,1 Mio.) und a.o. Finanzertrag (38,2 Mio.), Entnahmen Vorfinanzierungen Albulatunnel RhB (0,6 Mio., BU 2,6 Mio.) und systemrelevante Infrastrukturen (4,5 Mio., BU 11 Mio.), nicht budget. Einlage Vorfinanzierung digitale Transform. (-40 Mio.) </t>
  </si>
  <si>
    <t xml:space="preserve">nicht budget. a.o. Finanzertrag (56,4 Mio.), Entnahmen Vorfinanzierungen Förderung digitale Transformation (1,0 Mio., BU 6,8 Mio.), systemrelevante Infrastrukturen (2,4 Mio., BU 12 Mio.) und Albulatunnel RhB (2,0 Mio., BU 2,6 Mio.), nicht budget. Einlage Vorfinanzierung Green Deal GR (-67 Mio.) </t>
  </si>
  <si>
    <t>nicht budget. a.o. Finanzertrag (25,8 Mio.) und -aufwand (-2,4 Mio.), Entn. Vorf. Förd. digitale Transf. (3,2 Mio., BU 6,6 Mio.), systemrel. Infrastrukturen (2,5 Mio., BU 5 Mio.), Albulatunnel RhB (3,1 Mio., BU 1,9 Mio.) und Green Deal (9,8 Mio., BU 14,4 Mio.)</t>
  </si>
  <si>
    <t>nicht budget. a.o. Finanzaufwand (-0,3 Mio.) und a.o. Finanzertrag (44,5 Mio.) sowie Entnahmen aus Vorfinanzierungen Albulatunnel RhB (4 Mio., BU 4,1 Mio.) und systemrelevante Infrastrukturen (2,6 Mio., BU 3,3 Mio.)</t>
  </si>
  <si>
    <t xml:space="preserve">nicht budget. a.o. Finanzertrag (61,1 Mio.) und -aufwand (-19,7 Mio.), Entn. Vorf. Förd. digitale Transf. (2,0 Mio., BU 7,4 Mio.), systemrel. Infrastr. (0,8 Mio., BU 8 Mio.), Albulatunnel RhB (2,1 Mio., BU 1,9 Mio.) und Green Deal (3,4 Mio., BU 15,5 Mio.), nicht budget. Einlage Vorf.  Hochschulzentrum Chur (-60 Mio.) </t>
  </si>
  <si>
    <t>Entnahmen Vorfinanzierungen Förderung digitale Transformation (BU 6,705 Mio.), systemrelevante Infrastrukturen (BU 4,5 Mio.), Green Deal GR (BU 18,35 Mio.) und Albulatunnel RhB (BU 1,525 Mio.)</t>
  </si>
  <si>
    <t xml:space="preserve">Enthält Gewinnausschüttung SNB im Zusammenhang mit dem Rückruf der Notenserie von 1976 (BU 11,0 Mio.), Nettobelastung durch Ukraine-Krise (BU -8,5 Mio.) und Covid-19-Pandemie (BU -0,5 Mio.) </t>
  </si>
  <si>
    <t>Ø  RP 25-28</t>
  </si>
  <si>
    <t>Ausweis / Herleitung siehe Rechnungsbotschaft 2023, Seite 77</t>
  </si>
  <si>
    <r>
      <rPr>
        <vertAlign val="superscript"/>
        <sz val="10"/>
        <rFont val="Arial Narrow"/>
        <family val="2"/>
      </rPr>
      <t>4)</t>
    </r>
    <r>
      <rPr>
        <sz val="10"/>
        <rFont val="Arial Narrow"/>
        <family val="2"/>
      </rPr>
      <t xml:space="preserve"> für den finanzpolitischen Richtwert Nr. 2 relevant. </t>
    </r>
    <r>
      <rPr>
        <sz val="10"/>
        <color theme="6" tint="-0.249977111117893"/>
        <rFont val="Arial Narrow"/>
        <family val="2"/>
      </rPr>
      <t>Grün: Richtwert eingehalten</t>
    </r>
    <r>
      <rPr>
        <sz val="10"/>
        <rFont val="Arial Narrow"/>
        <family val="2"/>
      </rPr>
      <t>,</t>
    </r>
    <r>
      <rPr>
        <sz val="10"/>
        <color theme="5" tint="-0.249977111117893"/>
        <rFont val="Arial Narrow"/>
        <family val="2"/>
      </rPr>
      <t xml:space="preserve"> Rot: Richtwert nicht eingehalten</t>
    </r>
    <r>
      <rPr>
        <sz val="10"/>
        <rFont val="Arial Narrow"/>
        <family val="2"/>
      </rPr>
      <t>.</t>
    </r>
  </si>
  <si>
    <r>
      <rPr>
        <vertAlign val="superscript"/>
        <sz val="10"/>
        <rFont val="Arial Narrow"/>
        <family val="2"/>
      </rPr>
      <t>5)</t>
    </r>
    <r>
      <rPr>
        <sz val="10"/>
        <rFont val="Arial Narrow"/>
        <family val="2"/>
      </rPr>
      <t xml:space="preserve">  Korrektur gem. Budgetbotschaft 2024, Seite 85.</t>
    </r>
  </si>
  <si>
    <r>
      <t xml:space="preserve">Ausweis / Herleitung siehe Rechnungsbotschaft 2022, Seite 74 </t>
    </r>
    <r>
      <rPr>
        <u/>
        <vertAlign val="superscript"/>
        <sz val="10"/>
        <color theme="10"/>
        <rFont val="Arial"/>
        <family val="2"/>
      </rPr>
      <t>5)</t>
    </r>
  </si>
  <si>
    <t>Bestand
31.12.2023</t>
  </si>
  <si>
    <t>Planbestand
31.12.2025</t>
  </si>
  <si>
    <t>Für die finanzpolitische Steuerung ist das ausgewiesene Gesamteigenkapital von gut 2,8 Milliarden keine geeignete Grösse. Es ist zum grössten Teil zur öffentlichen Aufgabenerfüllung gebunden und daher nicht frei verfügbar. Zur Deckung von Aufwandüberschüssen in der Erfolgsrechnung sowie für die Bildung von Vorfinanzierungen von Grossprojekten steht das «frei verfügbare Eigenkapital» zur Verfügung. Dieses wird ergänzt durch das «zweckgebundene Eigenkapital». Zusammen bilden sie das «verfügbare Eigenkapital».
Das «zweckgebundene Eigenkapital» umfasst einerseits die Vermögen von Spezialfinanzierungen (SF) im Eigenkapital sowie die gebildeten Reserven bzw. Vorfinanzierungen. Das «frei verfügbare Eigenkapital» entspricht dem Bilanzüberschuss abzüglich des Verwaltungsvermögens (ohne bundesfinanzierte Darlehen) sowie der aus politischem Interesse gehaltenen Aktien und Anteilscheine im Finanzvermögen. Beide Grössen sind in Art. 2b der Finanzhaushaltsverordnung (FHV; BR 710.110) klar definiert und ausführlich erläutert. Die detaillierte Herleitung erfolgt jeweils im Rahmen der Jahresrechnung (Siehe Jahresrechnung 2023, Seiten 74f.)</t>
  </si>
  <si>
    <t>Budget 2025</t>
  </si>
  <si>
    <t>Budget 2026</t>
  </si>
  <si>
    <t>Budget 2027</t>
  </si>
  <si>
    <t>Budget 2028</t>
  </si>
  <si>
    <r>
      <t xml:space="preserve">RW für Stellenbewirtschaftung max. real +1 % im Jahres - </t>
    </r>
    <r>
      <rPr>
        <sz val="7.5"/>
        <color theme="1"/>
        <rFont val="Symbol"/>
        <family val="1"/>
        <charset val="2"/>
      </rPr>
      <t>Æ</t>
    </r>
  </si>
  <si>
    <t>- davon individuelle Lohnentwicklungen (ab BU 2021 ohne Gerichte, bis BU 2024 für RW Nr. 6 relevant)</t>
  </si>
  <si>
    <t>Gesamtlohnsumme Kanton Graubünden seit 1997 und Einhaltung des finanzpolitischen Richtwerts (RW) Nr. 6 betreffend Wachstum der budgetierten Gesamtlohnsumme für Stellenbewirtschaftung</t>
  </si>
  <si>
    <t>(-2 570)</t>
  </si>
  <si>
    <t>(-2 700)</t>
  </si>
  <si>
    <t>(-2 800)</t>
  </si>
  <si>
    <t>(-2 911)</t>
  </si>
  <si>
    <t>(-2 916)</t>
  </si>
  <si>
    <t>(-2 980)</t>
  </si>
  <si>
    <t>(-3 090)</t>
  </si>
  <si>
    <t>(-3 086)</t>
  </si>
  <si>
    <t>(-3 083)</t>
  </si>
  <si>
    <t>(-3 147)</t>
  </si>
  <si>
    <t>(-1 992)</t>
  </si>
  <si>
    <t>(-2 025)</t>
  </si>
  <si>
    <t>(-3 212)</t>
  </si>
  <si>
    <t>(-2 746)</t>
  </si>
  <si>
    <t>- davon Mutationsverluste durch Budgetierung vakanter Stellen neu mit 120 % statt 110 %</t>
  </si>
  <si>
    <t>- davon teuerungsbereinigte Erhöhung Leistungs- und Spontanprämien (Konto Nr. 5121.301012)</t>
  </si>
  <si>
    <t>+ davon diverse Einsparungen und Mutationsgewinne (ab BU 2021 ohne Gerichte, bis BU 2024 für RW Nr. 6 relevant)</t>
  </si>
  <si>
    <t>(5 992)</t>
  </si>
  <si>
    <t>(2 584)</t>
  </si>
  <si>
    <t>(1 298)</t>
  </si>
  <si>
    <t>(2 130)</t>
  </si>
  <si>
    <t>(2 621)</t>
  </si>
  <si>
    <t>(2 388)</t>
  </si>
  <si>
    <t>(3 490)</t>
  </si>
  <si>
    <t>(2 171)</t>
  </si>
  <si>
    <t>(2 312)</t>
  </si>
  <si>
    <t>(1 873)</t>
  </si>
  <si>
    <t>(1 825)</t>
  </si>
  <si>
    <t>(2 602)</t>
  </si>
  <si>
    <r>
      <rPr>
        <b/>
        <sz val="7.5"/>
        <rFont val="Arial Narrow"/>
        <family val="2"/>
      </rPr>
      <t>Zunahme budgetierte Gesamlohnsumme für Stellenbewirtschaftung real max. +1 % im Jahresdurchschnitt eingehalten</t>
    </r>
    <r>
      <rPr>
        <sz val="7.5"/>
        <rFont val="Arial Narrow"/>
        <family val="2"/>
      </rPr>
      <t xml:space="preserve"> (+1,00 %. 0,835 Mio. LSE AFM wegen Ukraine, 1,285 Mio. LSE für Umsetzung Strategie digitale Verwaltung, 0,362 Mio. LSE SOA für Vollzug KIBEG und 0,2 Mio. LSE Allg. Pers.bereich (Konto 5121.301001) vom RW ausgenommen. RW relevante Stellenbewirtschaftung netto 3,537 Mio. inkl. Stellenverschiebungen von 0,302 Mio.</t>
    </r>
  </si>
  <si>
    <r>
      <rPr>
        <b/>
        <sz val="7.5"/>
        <rFont val="Arial Narrow"/>
        <family val="2"/>
      </rPr>
      <t>Finanzpolitischer Richtwert Nr. 6 Regierungsprogramm 2025-2028</t>
    </r>
    <r>
      <rPr>
        <sz val="7.5"/>
        <rFont val="Arial Narrow"/>
        <family val="2"/>
      </rPr>
      <t xml:space="preserve">
Stellen zur Bewältigung neuer Aufgaben sind in erster Linie durch interne Verschiebungen bereitzustellen.
Die budgetierte Lohnsumme der kantonalen Verwaltung darf für die Stellenbewirt schaftung im Durchschnitt der vier Planjahre real um höchstens 1,0 Prozent zunehmen. Davon ausgenommen sind jene Personalressourcen, die durch Beiträge Dritter finan ziert werden. Der Grosse Rat kann Ausnahmen beschliessen.
(Botschaft Heft Nr. 5/2023-2024, Seite 566)</t>
    </r>
  </si>
  <si>
    <r>
      <t>- davon beitragsfinanzierte Stellenschaffungen Regierung  (bis BU 2012 kostenneutrale Stellenschaffungen)</t>
    </r>
    <r>
      <rPr>
        <vertAlign val="superscript"/>
        <sz val="7.5"/>
        <rFont val="Arial Narrow"/>
        <family val="2"/>
      </rPr>
      <t>2)</t>
    </r>
  </si>
  <si>
    <r>
      <rPr>
        <vertAlign val="superscript"/>
        <sz val="7.5"/>
        <rFont val="Arial Narrow"/>
        <family val="2"/>
      </rPr>
      <t>2)</t>
    </r>
    <r>
      <rPr>
        <sz val="7.5"/>
        <rFont val="Arial Narrow"/>
        <family val="2"/>
      </rPr>
      <t xml:space="preserve"> bereinigt um erst 2019 budgetierte aber bereits im 2012 geschaffene Stelle (BU 2019 0,06 Mio. AVS) und um nachträglich von der Regierung dem finanzpolitischen Richtwert Nr. 6 unterstellte LS (BU 2024 0,11 Mio. AJF).</t>
    </r>
  </si>
  <si>
    <r>
      <t>+ davon wegfallende beitragsfinanzierte Stellen der Regierung</t>
    </r>
    <r>
      <rPr>
        <vertAlign val="superscript"/>
        <sz val="7.5"/>
        <rFont val="Arial Narrow"/>
        <family val="2"/>
      </rPr>
      <t>3)</t>
    </r>
  </si>
  <si>
    <r>
      <rPr>
        <vertAlign val="superscript"/>
        <sz val="7.5"/>
        <rFont val="Arial Narrow"/>
        <family val="2"/>
      </rPr>
      <t>3)</t>
    </r>
    <r>
      <rPr>
        <sz val="7.5"/>
        <rFont val="Arial Narrow"/>
        <family val="2"/>
      </rPr>
      <t xml:space="preserve"> bereinigt um wegfallende beitragsfinanzierte LS (BU 2016 0,15 Mio. Plantahof und KAPO, BU 2019 0,06 Mio. GA und KAPO, BU 2020 0,17 Mio. Plantahof und KAPO)</t>
    </r>
  </si>
  <si>
    <r>
      <t>a.o. Änderungen</t>
    </r>
    <r>
      <rPr>
        <b/>
        <vertAlign val="superscript"/>
        <sz val="7.5"/>
        <rFont val="Arial Narrow"/>
        <family val="2"/>
      </rPr>
      <t>4)</t>
    </r>
    <r>
      <rPr>
        <b/>
        <sz val="7.5"/>
        <rFont val="Arial Narrow"/>
        <family val="2"/>
      </rPr>
      <t xml:space="preserve"> / Einhaltung der Finanzplanbeschlüsse (BU 1997-2008) bzw. Richtwerte (ab BU 2009), </t>
    </r>
    <r>
      <rPr>
        <sz val="7.5"/>
        <rFont val="Arial Narrow"/>
        <family val="2"/>
      </rPr>
      <t>Grün: Richtwert eingehalten, Rot: Richtwert nicht eingehalten.</t>
    </r>
  </si>
  <si>
    <r>
      <t>4)</t>
    </r>
    <r>
      <rPr>
        <sz val="7.5"/>
        <rFont val="Arial Narrow"/>
        <family val="2"/>
      </rPr>
      <t xml:space="preserve"> In den Budgetbotschaften vor 2007 werden nur die wesentlichen Änderungen des Personalaufwands inkl. Sozialkosten ausgewiesen. Die Lohnsummenerhöhungen (LSE) wird bis 2007 wie folgt ermittelt: Personalaufwand = 118 %, LS = 100 %.</t>
    </r>
  </si>
  <si>
    <r>
      <rPr>
        <vertAlign val="superscript"/>
        <sz val="7.5"/>
        <rFont val="Arial Narrow"/>
        <family val="2"/>
      </rPr>
      <t>5)</t>
    </r>
    <r>
      <rPr>
        <sz val="7.5"/>
        <rFont val="Arial Narrow"/>
        <family val="2"/>
      </rPr>
      <t xml:space="preserve"> bereinigt um nachträglich von der Regierung dem finanzpolitischen Richtwert Nr. 6 unterstellte LS (BU 2024 0,11 Mio. AJF).</t>
    </r>
  </si>
  <si>
    <r>
      <t>davon nicht beitragsfinanzierte Stellenschaffungen Regierung</t>
    </r>
    <r>
      <rPr>
        <vertAlign val="superscript"/>
        <sz val="7.5"/>
        <rFont val="Arial Narrow"/>
        <family val="2"/>
      </rPr>
      <t>5)</t>
    </r>
  </si>
  <si>
    <r>
      <t>- davon arbeitsmarktbedingte Lohnmassnahmen</t>
    </r>
    <r>
      <rPr>
        <vertAlign val="superscript"/>
        <sz val="7.5"/>
        <rFont val="Arial Narrow"/>
        <family val="2"/>
      </rPr>
      <t xml:space="preserve">1) </t>
    </r>
  </si>
  <si>
    <r>
      <rPr>
        <vertAlign val="superscript"/>
        <sz val="7.5"/>
        <rFont val="Arial Narrow"/>
        <family val="2"/>
      </rPr>
      <t>1)</t>
    </r>
    <r>
      <rPr>
        <sz val="7.5"/>
        <rFont val="Arial Narrow"/>
        <family val="2"/>
      </rPr>
      <t xml:space="preserve"> 2024: spezifische arbeitsmarktbedingte Lohnmassnahmen KAPO, AFM und HBA, 2025: Totalrevision Einreihungsplan und spezifische arbeitsmarktbedingte Lohnmassnahmen AFM</t>
    </r>
  </si>
  <si>
    <r>
      <rPr>
        <b/>
        <sz val="7.5"/>
        <rFont val="Arial Narrow"/>
        <family val="2"/>
      </rPr>
      <t>Zunahme budgetierte Gesamlohnsumme für Stellenbewirtschaftung real max. +1 % im Jahresdurchschnitt eingehalten</t>
    </r>
    <r>
      <rPr>
        <sz val="7.5"/>
        <rFont val="Arial Narrow"/>
        <family val="2"/>
      </rPr>
      <t xml:space="preserve"> (+1,00 %. 0,915 Mio. LSE für Umsetzung Strategie digitale Verwaltung und 0,307 Mio. LSE für Datenschutz (Rubrik 1210) vom RW ausgenommen. </t>
    </r>
  </si>
  <si>
    <t>BU 2026</t>
  </si>
  <si>
    <t>RE 2024</t>
  </si>
  <si>
    <r>
      <t>2026</t>
    </r>
    <r>
      <rPr>
        <b/>
        <vertAlign val="superscript"/>
        <sz val="10"/>
        <rFont val="Arial Narrow"/>
        <family val="2"/>
      </rPr>
      <t>8)</t>
    </r>
  </si>
  <si>
    <r>
      <rPr>
        <vertAlign val="superscript"/>
        <sz val="10"/>
        <rFont val="Arial Narrow"/>
        <family val="2"/>
      </rPr>
      <t>8)</t>
    </r>
    <r>
      <rPr>
        <sz val="10"/>
        <rFont val="Arial Narrow"/>
        <family val="2"/>
      </rPr>
      <t xml:space="preserve"> Gemäss finanzpolitischem Richtwert Nr. 5 darf das budgetierte Defizit der Strassenrechnung aufgrund der Mindereinnahmen beim Anteil an der LSVA zu Gunsten der Spezialfinanzierung Klimaschutz und Innovation erstmals 30 Millionen (bisher 20 Mio.) nicht überschreiten.</t>
    </r>
  </si>
  <si>
    <t>** Die Gesamtausgaben setzen sich zusammen aus den Laufenden Ausgaben und den Bruttoinvestitionen. Zahlen gemäss Berechnungsart ab 2016 (Systemwechsel Zuschlagsteuer (5315.3602101) ab 2016 über Bilanz, mit Restatement 2013-2015). Berechnungsart gemäss Kapitel 4.1 im Bericht der Regierung in der Budgetbotschaft 2026, entspricht inhaltlich der HRM2-Berechnungsart gemäss Anhang «Kennzahlen» in der Budgetbotschaft 2026.</t>
  </si>
  <si>
    <t>Entnahmen Vorfinanzierungen Förderung digitale Transformation (3,5 Mio., BU 4,2 Mio.), systemrelevante Infrastrukturen (3,7 Mio., BU 4,0 Mio.), Green Deal GR (14,5 Mio., BU 14,7 Mio.) und Albulatunnel RhB (1,7 Mio., BU 1,9 Mio.)</t>
  </si>
  <si>
    <t>Enthält keine Gewinnausschüttung SNB (BU 0,0 Mio.)</t>
  </si>
  <si>
    <t>Entnahmen Vorfinanzierungen Förderung digitale Transformation (BU 4,828 Mio.), systemrelevante Infrastrukturen (BU 5,2 Mio.), Green Deal GR (BU 20,064 Mio.) und Albulatunnel RhB (BU 0,7 Mio.)</t>
  </si>
  <si>
    <t>Ausweis / Herleitung siehe Budgetbotschaft 2024, Seite 108</t>
  </si>
  <si>
    <t>Ausweis / Herleitung siehe Budgetbotschaft 2026, Seite 79</t>
  </si>
  <si>
    <t>Ausweis / Herleitung siehe Budgetbotschaft 2025, Seite 112</t>
  </si>
  <si>
    <t>Planbestand
31.12.2026</t>
  </si>
  <si>
    <t>Bestand
31.12.2024</t>
  </si>
  <si>
    <t>Enthält zweifache Gewinnausschüttung SNB (BU 30,7 Mio.)</t>
  </si>
  <si>
    <r>
      <rPr>
        <vertAlign val="superscript"/>
        <sz val="10"/>
        <rFont val="Arial Narrow"/>
        <family val="2"/>
      </rPr>
      <t xml:space="preserve">1) </t>
    </r>
    <r>
      <rPr>
        <sz val="10"/>
        <rFont val="Arial Narrow"/>
        <family val="2"/>
      </rPr>
      <t>Der laufende Ertrag entspricht bis 2025 dem Ertrag (4) ohne durchlaufende Beiträge (47), Entnahmen aus dem Eigenkapital (489) und interne Verrechnungen (49). Ab 2026 werden dem laufenden Ertrag aufgrund einer Änderung durch das Schweizerische Rechnungslegungsgremium für den öffentlichen Sektor zusätzlich die Entnahmen aus Spezialfinanzierungen und Fonds des Eigenkapitals (451) abgezogen.</t>
    </r>
  </si>
  <si>
    <t>* Die Selbstfinanzierung berechnet sich wie folgt:</t>
  </si>
  <si>
    <t>Ø 97
-12</t>
  </si>
  <si>
    <t>Ø 13
-26</t>
  </si>
  <si>
    <t>Ø 97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</si>
</sst>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 ###\ ###\ ##0"/>
    <numFmt numFmtId="168" formatCode="#,##0.000000"/>
    <numFmt numFmtId="169" formatCode="#,##0.00000000"/>
  </numFmts>
  <fonts count="50" x14ac:knownFonts="1">
    <font>
      <sz val="10"/>
      <color theme="1"/>
      <name val="Arial"/>
      <family val="2"/>
    </font>
    <font>
      <sz val="11"/>
      <color theme="1"/>
      <name val="Calibri"/>
      <family val="2"/>
      <scheme val="minor"/>
    </font>
    <font>
      <b/>
      <sz val="12"/>
      <color theme="1"/>
      <name val="Arial Narrow"/>
      <family val="2"/>
    </font>
    <font>
      <sz val="10"/>
      <color theme="1"/>
      <name val="Arial Narrow"/>
      <family val="2"/>
    </font>
    <font>
      <b/>
      <sz val="10"/>
      <color theme="1"/>
      <name val="Arial Narrow"/>
      <family val="2"/>
    </font>
    <font>
      <sz val="10"/>
      <name val="Arial Narrow"/>
      <family val="2"/>
    </font>
    <font>
      <b/>
      <sz val="10"/>
      <name val="Arial Narrow"/>
      <family val="2"/>
    </font>
    <font>
      <sz val="10"/>
      <name val="Arial"/>
      <family val="2"/>
    </font>
    <font>
      <sz val="10"/>
      <name val="Arial"/>
      <family val="2"/>
    </font>
    <font>
      <b/>
      <sz val="12"/>
      <name val="Arial Narrow"/>
      <family val="2"/>
    </font>
    <font>
      <sz val="12"/>
      <name val="Arial Narrow"/>
      <family val="2"/>
    </font>
    <font>
      <b/>
      <sz val="10"/>
      <name val="Calibri"/>
      <family val="2"/>
    </font>
    <font>
      <b/>
      <vertAlign val="superscript"/>
      <sz val="10"/>
      <color theme="1"/>
      <name val="Arial Narrow"/>
      <family val="2"/>
    </font>
    <font>
      <vertAlign val="superscript"/>
      <sz val="10"/>
      <name val="Arial Narrow"/>
      <family val="2"/>
    </font>
    <font>
      <b/>
      <vertAlign val="superscript"/>
      <sz val="10"/>
      <name val="Arial Narrow"/>
      <family val="2"/>
    </font>
    <font>
      <b/>
      <sz val="10"/>
      <color theme="1"/>
      <name val="Arial"/>
      <family val="2"/>
    </font>
    <font>
      <sz val="10"/>
      <color theme="1"/>
      <name val="Arial"/>
      <family val="2"/>
    </font>
    <font>
      <vertAlign val="superscript"/>
      <sz val="10"/>
      <color theme="1"/>
      <name val="Arial Narrow"/>
      <family val="2"/>
    </font>
    <font>
      <sz val="10"/>
      <color rgb="FFFF0000"/>
      <name val="Arial Narrow"/>
      <family val="2"/>
    </font>
    <font>
      <b/>
      <sz val="10"/>
      <color rgb="FFFF0000"/>
      <name val="Calibri"/>
      <family val="2"/>
    </font>
    <font>
      <u/>
      <sz val="10"/>
      <color theme="10"/>
      <name val="Arial"/>
      <family val="2"/>
    </font>
    <font>
      <sz val="7"/>
      <color theme="1"/>
      <name val="Arial Narrow"/>
      <family val="2"/>
    </font>
    <font>
      <b/>
      <sz val="7.5"/>
      <color theme="1"/>
      <name val="Arial Narrow"/>
      <family val="2"/>
    </font>
    <font>
      <sz val="7.5"/>
      <color theme="1"/>
      <name val="Arial Narrow"/>
      <family val="2"/>
    </font>
    <font>
      <b/>
      <sz val="7.5"/>
      <name val="Arial Narrow"/>
      <family val="2"/>
    </font>
    <font>
      <sz val="7.5"/>
      <name val="Arial Narrow"/>
      <family val="2"/>
    </font>
    <font>
      <b/>
      <sz val="11"/>
      <name val="Calibri"/>
      <family val="2"/>
      <scheme val="minor"/>
    </font>
    <font>
      <sz val="11"/>
      <name val="Calibri"/>
      <family val="2"/>
      <scheme val="minor"/>
    </font>
    <font>
      <vertAlign val="superscript"/>
      <sz val="7.5"/>
      <name val="Arial Narrow"/>
      <family val="2"/>
    </font>
    <font>
      <b/>
      <vertAlign val="superscript"/>
      <sz val="7.5"/>
      <name val="Arial Narrow"/>
      <family val="2"/>
    </font>
    <font>
      <i/>
      <sz val="7.5"/>
      <name val="Arial Narrow"/>
      <family val="2"/>
    </font>
    <font>
      <sz val="7.5"/>
      <color theme="1"/>
      <name val="Symbol"/>
      <family val="1"/>
      <charset val="2"/>
    </font>
    <font>
      <b/>
      <sz val="7.5"/>
      <name val="Symbol"/>
      <family val="1"/>
      <charset val="2"/>
    </font>
    <font>
      <b/>
      <sz val="11.25"/>
      <name val="Arial Narrow"/>
      <family val="2"/>
    </font>
    <font>
      <sz val="10"/>
      <color theme="6" tint="-0.249977111117893"/>
      <name val="Arial Narrow"/>
      <family val="2"/>
    </font>
    <font>
      <sz val="10"/>
      <color theme="5" tint="-0.249977111117893"/>
      <name val="Arial Narrow"/>
      <family val="2"/>
    </font>
    <font>
      <sz val="7.5"/>
      <color theme="6" tint="-0.249977111117893"/>
      <name val="Arial Narrow"/>
      <family val="2"/>
    </font>
    <font>
      <sz val="7.5"/>
      <color theme="5" tint="-0.249977111117893"/>
      <name val="Arial Narrow"/>
      <family val="2"/>
    </font>
    <font>
      <b/>
      <i/>
      <sz val="10"/>
      <color theme="1"/>
      <name val="Arial Narrow"/>
      <family val="2"/>
    </font>
    <font>
      <b/>
      <i/>
      <vertAlign val="superscript"/>
      <sz val="10"/>
      <color theme="1"/>
      <name val="Arial Narrow"/>
      <family val="2"/>
    </font>
    <font>
      <i/>
      <sz val="10"/>
      <color theme="1"/>
      <name val="Arial Narrow"/>
      <family val="2"/>
    </font>
    <font>
      <i/>
      <sz val="10"/>
      <name val="Arial Narrow"/>
      <family val="2"/>
    </font>
    <font>
      <i/>
      <sz val="10"/>
      <name val="Symbol"/>
      <family val="1"/>
      <charset val="2"/>
    </font>
    <font>
      <i/>
      <sz val="10"/>
      <color theme="1"/>
      <name val="Arial"/>
      <family val="2"/>
    </font>
    <font>
      <b/>
      <sz val="11"/>
      <color theme="1"/>
      <name val="Calibri"/>
      <family val="2"/>
      <scheme val="minor"/>
    </font>
    <font>
      <sz val="7.5"/>
      <name val="Symbol"/>
      <family val="1"/>
      <charset val="2"/>
    </font>
    <font>
      <b/>
      <sz val="10"/>
      <name val="Arial"/>
      <family val="2"/>
    </font>
    <font>
      <u/>
      <sz val="10"/>
      <name val="Arial Narrow"/>
      <family val="2"/>
    </font>
    <font>
      <u/>
      <vertAlign val="superscript"/>
      <sz val="10"/>
      <color theme="10"/>
      <name val="Arial"/>
      <family val="2"/>
    </font>
    <font>
      <sz val="7.5"/>
      <color rgb="FFFF0000"/>
      <name val="Arial Narrow"/>
      <family val="2"/>
    </font>
  </fonts>
  <fills count="9">
    <fill>
      <patternFill patternType="none"/>
    </fill>
    <fill>
      <patternFill patternType="gray125"/>
    </fill>
    <fill>
      <patternFill patternType="solid">
        <fgColor theme="0"/>
        <bgColor indexed="64"/>
      </patternFill>
    </fill>
    <fill>
      <patternFill patternType="solid">
        <fgColor rgb="FFAAD7FF"/>
        <bgColor indexed="64"/>
      </patternFill>
    </fill>
    <fill>
      <patternFill patternType="solid">
        <fgColor rgb="FFC6EFCE"/>
        <bgColor indexed="64"/>
      </patternFill>
    </fill>
    <fill>
      <patternFill patternType="solid">
        <fgColor theme="5" tint="0.59999389629810485"/>
        <bgColor indexed="64"/>
      </patternFill>
    </fill>
    <fill>
      <patternFill patternType="solid">
        <fgColor rgb="FFE6B8B7"/>
        <bgColor indexed="64"/>
      </patternFill>
    </fill>
    <fill>
      <gradientFill degree="90">
        <stop position="0">
          <color rgb="FFE6B8B7"/>
        </stop>
        <stop position="1">
          <color rgb="FFC6EFCE"/>
        </stop>
      </gradientFill>
    </fill>
    <fill>
      <patternFill patternType="solid">
        <fgColor rgb="FFFFFF00"/>
        <bgColor indexed="64"/>
      </patternFill>
    </fill>
  </fills>
  <borders count="8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right style="hair">
        <color auto="1"/>
      </right>
      <top/>
      <bottom/>
      <diagonal/>
    </border>
    <border>
      <left/>
      <right style="hair">
        <color auto="1"/>
      </right>
      <top/>
      <bottom style="thin">
        <color auto="1"/>
      </bottom>
      <diagonal/>
    </border>
    <border>
      <left/>
      <right/>
      <top style="hair">
        <color auto="1"/>
      </top>
      <bottom style="hair">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style="thin">
        <color auto="1"/>
      </right>
      <top/>
      <bottom/>
      <diagonal/>
    </border>
    <border>
      <left style="thin">
        <color auto="1"/>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style="thin">
        <color auto="1"/>
      </top>
      <bottom style="hair">
        <color auto="1"/>
      </bottom>
      <diagonal/>
    </border>
    <border>
      <left style="hair">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bottom/>
      <diagonal/>
    </border>
    <border>
      <left style="hair">
        <color auto="1"/>
      </left>
      <right style="hair">
        <color auto="1"/>
      </right>
      <top style="hair">
        <color auto="1"/>
      </top>
      <bottom style="thin">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hair">
        <color auto="1"/>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style="thin">
        <color auto="1"/>
      </left>
      <right/>
      <top/>
      <bottom style="hair">
        <color auto="1"/>
      </bottom>
      <diagonal/>
    </border>
    <border>
      <left/>
      <right style="thin">
        <color auto="1"/>
      </right>
      <top/>
      <bottom style="hair">
        <color auto="1"/>
      </bottom>
      <diagonal/>
    </border>
    <border>
      <left style="hair">
        <color auto="1"/>
      </left>
      <right style="thin">
        <color auto="1"/>
      </right>
      <top style="hair">
        <color auto="1"/>
      </top>
      <bottom/>
      <diagonal/>
    </border>
    <border>
      <left style="thin">
        <color auto="1"/>
      </left>
      <right style="hair">
        <color auto="1"/>
      </right>
      <top style="hair">
        <color auto="1"/>
      </top>
      <bottom/>
      <diagonal/>
    </border>
    <border>
      <left style="thin">
        <color auto="1"/>
      </left>
      <right style="thin">
        <color auto="1"/>
      </right>
      <top style="hair">
        <color auto="1"/>
      </top>
      <bottom style="hair">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style="thin">
        <color auto="1"/>
      </right>
      <top style="hair">
        <color auto="1"/>
      </top>
      <bottom/>
      <diagonal/>
    </border>
    <border>
      <left style="hair">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top style="thin">
        <color auto="1"/>
      </top>
      <bottom style="thin">
        <color auto="1"/>
      </bottom>
      <diagonal/>
    </border>
  </borders>
  <cellStyleXfs count="5">
    <xf numFmtId="0" fontId="0" fillId="0" borderId="0"/>
    <xf numFmtId="0" fontId="7" fillId="0" borderId="0"/>
    <xf numFmtId="9" fontId="16" fillId="0" borderId="0" applyFont="0" applyFill="0" applyBorder="0" applyAlignment="0" applyProtection="0"/>
    <xf numFmtId="0" fontId="20" fillId="0" borderId="0" applyNumberFormat="0" applyFill="0" applyBorder="0" applyAlignment="0" applyProtection="0"/>
    <xf numFmtId="0" fontId="1" fillId="0" borderId="0"/>
  </cellStyleXfs>
  <cellXfs count="1013">
    <xf numFmtId="0" fontId="0" fillId="0" borderId="0" xfId="0"/>
    <xf numFmtId="0" fontId="2" fillId="0" borderId="0" xfId="0" applyFont="1"/>
    <xf numFmtId="0" fontId="3" fillId="0" borderId="0" xfId="0" applyFont="1"/>
    <xf numFmtId="0" fontId="3" fillId="0" borderId="0" xfId="0" applyFont="1" applyAlignment="1">
      <alignment horizontal="right" vertical="center"/>
    </xf>
    <xf numFmtId="0" fontId="3" fillId="0" borderId="0" xfId="0" applyFont="1" applyAlignment="1">
      <alignment horizontal="right" vertical="center" indent="1"/>
    </xf>
    <xf numFmtId="0" fontId="3" fillId="0" borderId="0" xfId="0" applyFont="1" applyAlignment="1">
      <alignment horizontal="right"/>
    </xf>
    <xf numFmtId="0" fontId="3" fillId="0" borderId="0" xfId="0" applyFont="1" applyFill="1"/>
    <xf numFmtId="0" fontId="3" fillId="0" borderId="0" xfId="0" applyFont="1" applyFill="1" applyAlignment="1">
      <alignment horizontal="right" vertical="center"/>
    </xf>
    <xf numFmtId="0" fontId="3" fillId="0" borderId="0" xfId="0" applyFont="1" applyAlignment="1">
      <alignment horizontal="left" vertical="center"/>
    </xf>
    <xf numFmtId="0" fontId="3" fillId="0" borderId="0" xfId="0" applyFont="1" applyBorder="1" applyAlignment="1">
      <alignment horizontal="right"/>
    </xf>
    <xf numFmtId="0" fontId="3" fillId="0" borderId="0" xfId="0" applyFont="1" applyBorder="1" applyAlignment="1">
      <alignment vertical="center"/>
    </xf>
    <xf numFmtId="0" fontId="3" fillId="0" borderId="0" xfId="0" applyFont="1" applyFill="1" applyBorder="1" applyAlignment="1">
      <alignment vertical="center"/>
    </xf>
    <xf numFmtId="0" fontId="4" fillId="0" borderId="14" xfId="0" applyFont="1" applyBorder="1" applyAlignment="1">
      <alignment horizontal="right" wrapText="1"/>
    </xf>
    <xf numFmtId="0" fontId="6" fillId="0" borderId="13" xfId="0" applyFont="1" applyFill="1" applyBorder="1" applyAlignment="1">
      <alignment horizontal="right" wrapText="1"/>
    </xf>
    <xf numFmtId="0" fontId="7" fillId="0" borderId="0" xfId="1"/>
    <xf numFmtId="0" fontId="8" fillId="0" borderId="0" xfId="1" applyFont="1"/>
    <xf numFmtId="0" fontId="5" fillId="0" borderId="0" xfId="1" applyFont="1"/>
    <xf numFmtId="0" fontId="9" fillId="0" borderId="0" xfId="1" applyFont="1" applyAlignment="1"/>
    <xf numFmtId="0" fontId="10" fillId="0" borderId="0" xfId="1" applyFont="1"/>
    <xf numFmtId="0" fontId="9" fillId="0" borderId="0" xfId="1" applyFont="1" applyBorder="1" applyAlignment="1"/>
    <xf numFmtId="0" fontId="5" fillId="0" borderId="0" xfId="1" applyFont="1" applyBorder="1"/>
    <xf numFmtId="0" fontId="8" fillId="0" borderId="0" xfId="1" applyFont="1" applyBorder="1"/>
    <xf numFmtId="0" fontId="7" fillId="0" borderId="0" xfId="1" applyBorder="1"/>
    <xf numFmtId="164" fontId="3" fillId="0" borderId="0" xfId="0" applyNumberFormat="1" applyFont="1"/>
    <xf numFmtId="0" fontId="5" fillId="0" borderId="0" xfId="1" applyFont="1" applyAlignment="1"/>
    <xf numFmtId="0" fontId="5" fillId="0" borderId="0" xfId="1" applyFont="1" applyFill="1" applyAlignment="1"/>
    <xf numFmtId="0" fontId="10" fillId="0" borderId="0" xfId="1" applyFont="1" applyBorder="1" applyAlignment="1">
      <alignment horizontal="left" wrapText="1"/>
    </xf>
    <xf numFmtId="0" fontId="5" fillId="0" borderId="0" xfId="1" applyFont="1" applyBorder="1" applyAlignment="1">
      <alignment horizontal="left" wrapText="1"/>
    </xf>
    <xf numFmtId="0" fontId="8" fillId="0" borderId="0" xfId="1" applyFont="1" applyBorder="1" applyAlignment="1">
      <alignment horizontal="left" wrapText="1"/>
    </xf>
    <xf numFmtId="0" fontId="7" fillId="0" borderId="0" xfId="1" applyBorder="1" applyAlignment="1">
      <alignment horizontal="left" wrapText="1"/>
    </xf>
    <xf numFmtId="0" fontId="4" fillId="0" borderId="0" xfId="0" applyFont="1"/>
    <xf numFmtId="0" fontId="3" fillId="0" borderId="0" xfId="0" applyFont="1" applyBorder="1"/>
    <xf numFmtId="0" fontId="3" fillId="0" borderId="0" xfId="0" applyFont="1" applyAlignment="1">
      <alignment horizontal="left" wrapText="1"/>
    </xf>
    <xf numFmtId="0" fontId="5" fillId="0" borderId="0" xfId="0" applyFont="1" applyAlignment="1">
      <alignment horizontal="right" vertical="center"/>
    </xf>
    <xf numFmtId="0" fontId="5" fillId="0" borderId="0" xfId="0" applyFont="1" applyFill="1" applyAlignment="1">
      <alignment horizontal="right" vertical="center"/>
    </xf>
    <xf numFmtId="0" fontId="13" fillId="0" borderId="0" xfId="1" applyFont="1"/>
    <xf numFmtId="0" fontId="5" fillId="0" borderId="0" xfId="1" applyFont="1" applyFill="1"/>
    <xf numFmtId="165" fontId="3" fillId="0" borderId="0" xfId="0" applyNumberFormat="1" applyFont="1" applyAlignment="1">
      <alignment horizontal="right" vertical="center" indent="1"/>
    </xf>
    <xf numFmtId="0" fontId="4" fillId="0" borderId="37" xfId="0" applyFont="1" applyBorder="1" applyAlignment="1">
      <alignment horizontal="left" vertical="top" wrapText="1"/>
    </xf>
    <xf numFmtId="164" fontId="5" fillId="0" borderId="33" xfId="1" applyNumberFormat="1" applyFont="1" applyBorder="1" applyAlignment="1">
      <alignment horizontal="left" wrapText="1"/>
    </xf>
    <xf numFmtId="164" fontId="5" fillId="0" borderId="33" xfId="1" applyNumberFormat="1" applyFont="1" applyFill="1" applyBorder="1" applyAlignment="1">
      <alignment horizontal="left" wrapText="1"/>
    </xf>
    <xf numFmtId="164" fontId="4" fillId="0" borderId="38" xfId="0" applyNumberFormat="1" applyFont="1" applyBorder="1" applyAlignment="1">
      <alignment horizontal="left" wrapText="1"/>
    </xf>
    <xf numFmtId="164" fontId="4" fillId="0" borderId="39" xfId="0" applyNumberFormat="1" applyFont="1" applyBorder="1" applyAlignment="1">
      <alignment horizontal="left" vertical="center" wrapText="1"/>
    </xf>
    <xf numFmtId="164" fontId="4" fillId="0" borderId="38" xfId="0" applyNumberFormat="1" applyFont="1" applyBorder="1" applyAlignment="1">
      <alignment horizontal="left" vertical="center" wrapText="1"/>
    </xf>
    <xf numFmtId="164" fontId="4" fillId="0" borderId="37" xfId="0" applyNumberFormat="1" applyFont="1" applyBorder="1" applyAlignment="1">
      <alignment horizontal="left" wrapText="1"/>
    </xf>
    <xf numFmtId="0" fontId="3" fillId="0" borderId="0" xfId="0" applyFont="1" applyBorder="1" applyAlignment="1">
      <alignment horizontal="left" wrapText="1"/>
    </xf>
    <xf numFmtId="164" fontId="5" fillId="0" borderId="0" xfId="1" applyNumberFormat="1" applyFont="1" applyBorder="1" applyAlignment="1">
      <alignment horizontal="left" wrapText="1"/>
    </xf>
    <xf numFmtId="164" fontId="5" fillId="0" borderId="36" xfId="1" applyNumberFormat="1" applyFont="1" applyBorder="1" applyAlignment="1">
      <alignment horizontal="left" wrapText="1"/>
    </xf>
    <xf numFmtId="164" fontId="5" fillId="0" borderId="42" xfId="1" applyNumberFormat="1" applyFont="1" applyBorder="1" applyAlignment="1">
      <alignment horizontal="left" wrapText="1"/>
    </xf>
    <xf numFmtId="164" fontId="5" fillId="0" borderId="36" xfId="1" applyNumberFormat="1" applyFont="1" applyFill="1" applyBorder="1" applyAlignment="1">
      <alignment horizontal="left" wrapText="1"/>
    </xf>
    <xf numFmtId="164" fontId="5" fillId="0" borderId="42" xfId="1" applyNumberFormat="1" applyFont="1" applyFill="1" applyBorder="1" applyAlignment="1">
      <alignment horizontal="left" wrapText="1"/>
    </xf>
    <xf numFmtId="0" fontId="4" fillId="0" borderId="46" xfId="0" applyFont="1" applyBorder="1" applyAlignment="1">
      <alignment horizontal="left" wrapText="1"/>
    </xf>
    <xf numFmtId="0" fontId="4" fillId="0" borderId="0" xfId="0" applyFont="1" applyBorder="1" applyAlignment="1">
      <alignment horizontal="left" wrapText="1"/>
    </xf>
    <xf numFmtId="0" fontId="4" fillId="0" borderId="17" xfId="0" applyFont="1" applyBorder="1" applyAlignment="1">
      <alignment horizontal="left" wrapText="1"/>
    </xf>
    <xf numFmtId="0" fontId="4" fillId="0" borderId="0" xfId="0" applyFont="1" applyBorder="1"/>
    <xf numFmtId="0" fontId="4" fillId="0" borderId="0" xfId="0" applyFont="1" applyBorder="1" applyAlignment="1">
      <alignment horizontal="right" wrapText="1"/>
    </xf>
    <xf numFmtId="164" fontId="3" fillId="0" borderId="0" xfId="0" applyNumberFormat="1" applyFont="1" applyFill="1" applyBorder="1" applyAlignment="1">
      <alignment horizontal="right" vertical="center"/>
    </xf>
    <xf numFmtId="0" fontId="3" fillId="0" borderId="0" xfId="0" applyFont="1" applyFill="1" applyBorder="1" applyAlignment="1">
      <alignment horizontal="right" vertical="center"/>
    </xf>
    <xf numFmtId="164" fontId="3" fillId="0" borderId="0" xfId="0" applyNumberFormat="1" applyFont="1" applyBorder="1" applyAlignment="1">
      <alignment horizontal="right" vertical="center"/>
    </xf>
    <xf numFmtId="0" fontId="3" fillId="0" borderId="0" xfId="0" applyFont="1" applyBorder="1" applyAlignment="1">
      <alignment horizontal="right" vertical="center"/>
    </xf>
    <xf numFmtId="164" fontId="5" fillId="0" borderId="0" xfId="0" applyNumberFormat="1" applyFont="1" applyFill="1" applyBorder="1" applyAlignment="1">
      <alignment horizontal="right" vertical="center"/>
    </xf>
    <xf numFmtId="0" fontId="5" fillId="0" borderId="0" xfId="0" applyFont="1" applyFill="1" applyBorder="1" applyAlignment="1">
      <alignment horizontal="right" vertical="center"/>
    </xf>
    <xf numFmtId="164" fontId="5" fillId="0" borderId="0" xfId="0" applyNumberFormat="1" applyFont="1" applyBorder="1" applyAlignment="1">
      <alignment horizontal="right" vertical="center"/>
    </xf>
    <xf numFmtId="0" fontId="5" fillId="0" borderId="0" xfId="0" applyFont="1" applyBorder="1" applyAlignment="1">
      <alignment horizontal="right" vertical="center"/>
    </xf>
    <xf numFmtId="0" fontId="4" fillId="0" borderId="46" xfId="0" applyFont="1" applyBorder="1" applyAlignment="1">
      <alignment horizontal="right" wrapText="1"/>
    </xf>
    <xf numFmtId="0" fontId="4" fillId="0" borderId="17" xfId="0" applyFont="1" applyBorder="1" applyAlignment="1">
      <alignment horizontal="right"/>
    </xf>
    <xf numFmtId="0" fontId="4" fillId="0" borderId="36" xfId="0" applyFont="1" applyBorder="1" applyAlignment="1">
      <alignment horizontal="right"/>
    </xf>
    <xf numFmtId="0" fontId="4" fillId="0" borderId="17" xfId="0" applyFont="1" applyBorder="1" applyAlignment="1">
      <alignment horizontal="right" wrapText="1"/>
    </xf>
    <xf numFmtId="0" fontId="4" fillId="0" borderId="53" xfId="0" applyFont="1" applyBorder="1" applyAlignment="1">
      <alignment horizontal="right" wrapText="1"/>
    </xf>
    <xf numFmtId="0" fontId="4" fillId="0" borderId="20" xfId="0" applyFont="1" applyBorder="1" applyAlignment="1">
      <alignment horizontal="right" wrapText="1"/>
    </xf>
    <xf numFmtId="0" fontId="4" fillId="0" borderId="54" xfId="0" applyFont="1" applyBorder="1" applyAlignment="1">
      <alignment horizontal="right" wrapText="1"/>
    </xf>
    <xf numFmtId="0" fontId="4" fillId="0" borderId="55" xfId="0" applyFont="1" applyBorder="1" applyAlignment="1">
      <alignment horizontal="right" vertical="center"/>
    </xf>
    <xf numFmtId="0" fontId="4" fillId="0" borderId="63" xfId="0" applyFont="1" applyBorder="1" applyAlignment="1">
      <alignment horizontal="right" vertical="center"/>
    </xf>
    <xf numFmtId="0" fontId="4" fillId="0" borderId="63" xfId="0" applyFont="1" applyFill="1" applyBorder="1" applyAlignment="1">
      <alignment horizontal="right" vertical="center"/>
    </xf>
    <xf numFmtId="0" fontId="4" fillId="3" borderId="65" xfId="0" applyFont="1" applyFill="1" applyBorder="1" applyAlignment="1">
      <alignment horizontal="right" vertical="center"/>
    </xf>
    <xf numFmtId="0" fontId="4" fillId="0" borderId="26" xfId="0" applyFont="1" applyBorder="1" applyAlignment="1">
      <alignment horizontal="right" wrapText="1"/>
    </xf>
    <xf numFmtId="0" fontId="4" fillId="0" borderId="68" xfId="0" applyFont="1" applyBorder="1" applyAlignment="1">
      <alignment horizontal="right" vertical="center"/>
    </xf>
    <xf numFmtId="0" fontId="4" fillId="0" borderId="61" xfId="0" applyFont="1" applyBorder="1" applyAlignment="1">
      <alignment horizontal="right" vertical="center"/>
    </xf>
    <xf numFmtId="0" fontId="4" fillId="0" borderId="65" xfId="0" applyFont="1" applyBorder="1" applyAlignment="1">
      <alignment horizontal="right" vertical="center"/>
    </xf>
    <xf numFmtId="0" fontId="3" fillId="0" borderId="28" xfId="0" applyFont="1" applyBorder="1"/>
    <xf numFmtId="0" fontId="4" fillId="0" borderId="7" xfId="0" applyFont="1" applyBorder="1" applyAlignment="1">
      <alignment horizontal="left" indent="1"/>
    </xf>
    <xf numFmtId="0" fontId="4" fillId="0" borderId="55" xfId="0" applyFont="1" applyBorder="1" applyAlignment="1">
      <alignment horizontal="left" vertical="center" indent="1"/>
    </xf>
    <xf numFmtId="0" fontId="4" fillId="0" borderId="57" xfId="0" applyFont="1" applyBorder="1" applyAlignment="1">
      <alignment horizontal="left" vertical="center" indent="1"/>
    </xf>
    <xf numFmtId="0" fontId="4" fillId="0" borderId="59" xfId="0" applyFont="1" applyBorder="1" applyAlignment="1">
      <alignment horizontal="left" vertical="center" indent="1"/>
    </xf>
    <xf numFmtId="0" fontId="4" fillId="0" borderId="51" xfId="0" applyFont="1" applyFill="1" applyBorder="1" applyAlignment="1">
      <alignment horizontal="left" vertical="center" indent="1"/>
    </xf>
    <xf numFmtId="0" fontId="4" fillId="0" borderId="57" xfId="0" applyFont="1" applyFill="1" applyBorder="1" applyAlignment="1">
      <alignment horizontal="left" vertical="center" indent="1"/>
    </xf>
    <xf numFmtId="0" fontId="6" fillId="0" borderId="26" xfId="1" applyFont="1" applyBorder="1" applyAlignment="1">
      <alignment horizontal="right"/>
    </xf>
    <xf numFmtId="164" fontId="4" fillId="0" borderId="29" xfId="0" applyNumberFormat="1" applyFont="1" applyBorder="1" applyAlignment="1">
      <alignment horizontal="left" wrapText="1"/>
    </xf>
    <xf numFmtId="164" fontId="4" fillId="0" borderId="30" xfId="0" applyNumberFormat="1" applyFont="1" applyBorder="1" applyAlignment="1">
      <alignment horizontal="left" wrapText="1"/>
    </xf>
    <xf numFmtId="0" fontId="6" fillId="0" borderId="68" xfId="1" applyFont="1" applyBorder="1" applyAlignment="1">
      <alignment horizontal="right"/>
    </xf>
    <xf numFmtId="164" fontId="4" fillId="0" borderId="52" xfId="0" applyNumberFormat="1" applyFont="1" applyBorder="1" applyAlignment="1">
      <alignment horizontal="left" wrapText="1"/>
    </xf>
    <xf numFmtId="0" fontId="6" fillId="0" borderId="63" xfId="1" applyFont="1" applyBorder="1" applyAlignment="1">
      <alignment horizontal="right"/>
    </xf>
    <xf numFmtId="164" fontId="5" fillId="0" borderId="58" xfId="1" applyNumberFormat="1" applyFont="1" applyBorder="1" applyAlignment="1">
      <alignment horizontal="left" wrapText="1"/>
    </xf>
    <xf numFmtId="0" fontId="6" fillId="0" borderId="67" xfId="1" applyFont="1" applyBorder="1" applyAlignment="1">
      <alignment horizontal="right"/>
    </xf>
    <xf numFmtId="164" fontId="5" fillId="0" borderId="70" xfId="1" applyNumberFormat="1" applyFont="1" applyBorder="1" applyAlignment="1">
      <alignment horizontal="left" wrapText="1"/>
    </xf>
    <xf numFmtId="0" fontId="6" fillId="0" borderId="61" xfId="1" applyFont="1" applyBorder="1" applyAlignment="1">
      <alignment horizontal="right"/>
    </xf>
    <xf numFmtId="164" fontId="5" fillId="0" borderId="56" xfId="1" applyNumberFormat="1" applyFont="1" applyBorder="1" applyAlignment="1">
      <alignment horizontal="left" wrapText="1"/>
    </xf>
    <xf numFmtId="0" fontId="6" fillId="0" borderId="63" xfId="1" applyFont="1" applyFill="1" applyBorder="1" applyAlignment="1">
      <alignment horizontal="right"/>
    </xf>
    <xf numFmtId="0" fontId="6" fillId="0" borderId="67" xfId="1" applyFont="1" applyFill="1" applyBorder="1" applyAlignment="1">
      <alignment horizontal="right"/>
    </xf>
    <xf numFmtId="0" fontId="6" fillId="0" borderId="61" xfId="1" applyFont="1" applyFill="1" applyBorder="1" applyAlignment="1">
      <alignment horizontal="right"/>
    </xf>
    <xf numFmtId="164" fontId="5" fillId="0" borderId="70" xfId="1" applyNumberFormat="1" applyFont="1" applyFill="1" applyBorder="1" applyAlignment="1">
      <alignment horizontal="left" wrapText="1"/>
    </xf>
    <xf numFmtId="164" fontId="5" fillId="0" borderId="56" xfId="1" applyNumberFormat="1" applyFont="1" applyFill="1" applyBorder="1" applyAlignment="1">
      <alignment horizontal="left" wrapText="1"/>
    </xf>
    <xf numFmtId="164" fontId="5" fillId="0" borderId="58" xfId="1" applyNumberFormat="1" applyFont="1" applyFill="1" applyBorder="1" applyAlignment="1">
      <alignment horizontal="left" wrapText="1"/>
    </xf>
    <xf numFmtId="164" fontId="5" fillId="0" borderId="62" xfId="1" applyNumberFormat="1" applyFont="1" applyBorder="1" applyAlignment="1">
      <alignment horizontal="left" wrapText="1"/>
    </xf>
    <xf numFmtId="164" fontId="5" fillId="0" borderId="64" xfId="1" applyNumberFormat="1" applyFont="1" applyBorder="1" applyAlignment="1">
      <alignment horizontal="left" wrapText="1"/>
    </xf>
    <xf numFmtId="164" fontId="5" fillId="0" borderId="66" xfId="1" applyNumberFormat="1" applyFont="1" applyBorder="1" applyAlignment="1">
      <alignment horizontal="left" wrapText="1"/>
    </xf>
    <xf numFmtId="0" fontId="4" fillId="0" borderId="28" xfId="0" applyFont="1" applyBorder="1"/>
    <xf numFmtId="0" fontId="4" fillId="0" borderId="30" xfId="0" applyFont="1" applyBorder="1" applyAlignment="1">
      <alignment horizontal="left" wrapText="1"/>
    </xf>
    <xf numFmtId="0" fontId="4" fillId="0" borderId="7" xfId="0" applyFont="1" applyBorder="1" applyAlignment="1">
      <alignment horizontal="right" wrapText="1"/>
    </xf>
    <xf numFmtId="0" fontId="4" fillId="0" borderId="9" xfId="0" applyFont="1" applyBorder="1" applyAlignment="1">
      <alignment horizontal="left" wrapText="1"/>
    </xf>
    <xf numFmtId="0" fontId="4" fillId="0" borderId="55" xfId="0" applyFont="1" applyFill="1" applyBorder="1" applyAlignment="1">
      <alignment horizontal="right" vertical="center"/>
    </xf>
    <xf numFmtId="164" fontId="3" fillId="0" borderId="56" xfId="0" applyNumberFormat="1" applyFont="1" applyFill="1" applyBorder="1" applyAlignment="1">
      <alignment horizontal="left" vertical="center" wrapText="1"/>
    </xf>
    <xf numFmtId="0" fontId="4" fillId="0" borderId="57" xfId="0" applyFont="1" applyFill="1" applyBorder="1" applyAlignment="1">
      <alignment horizontal="right" vertical="center"/>
    </xf>
    <xf numFmtId="164" fontId="3" fillId="0" borderId="58" xfId="0" applyNumberFormat="1" applyFont="1" applyFill="1" applyBorder="1" applyAlignment="1">
      <alignment horizontal="left" vertical="center" wrapText="1"/>
    </xf>
    <xf numFmtId="0" fontId="6" fillId="0" borderId="59" xfId="0" applyFont="1" applyFill="1" applyBorder="1" applyAlignment="1">
      <alignment horizontal="right" vertical="center"/>
    </xf>
    <xf numFmtId="164" fontId="5" fillId="0" borderId="60" xfId="0" applyNumberFormat="1" applyFont="1" applyFill="1" applyBorder="1" applyAlignment="1">
      <alignment horizontal="left" vertical="center" wrapText="1"/>
    </xf>
    <xf numFmtId="0" fontId="6" fillId="0" borderId="51" xfId="0" applyFont="1" applyFill="1" applyBorder="1" applyAlignment="1">
      <alignment horizontal="right" vertical="center"/>
    </xf>
    <xf numFmtId="164" fontId="5" fillId="0" borderId="52" xfId="0" applyNumberFormat="1" applyFont="1" applyFill="1" applyBorder="1" applyAlignment="1">
      <alignment horizontal="left" vertical="center" wrapText="1"/>
    </xf>
    <xf numFmtId="0" fontId="6" fillId="0" borderId="57" xfId="0" applyFont="1" applyFill="1" applyBorder="1" applyAlignment="1">
      <alignment horizontal="right" vertical="center"/>
    </xf>
    <xf numFmtId="164" fontId="5" fillId="0" borderId="58" xfId="0" applyNumberFormat="1" applyFont="1" applyFill="1" applyBorder="1" applyAlignment="1">
      <alignment horizontal="left" vertical="center" wrapText="1"/>
    </xf>
    <xf numFmtId="0" fontId="6" fillId="0" borderId="71" xfId="0" applyFont="1" applyFill="1" applyBorder="1" applyAlignment="1">
      <alignment horizontal="right" vertical="center"/>
    </xf>
    <xf numFmtId="164" fontId="5" fillId="0" borderId="70" xfId="0" applyNumberFormat="1" applyFont="1" applyFill="1" applyBorder="1" applyAlignment="1">
      <alignment horizontal="left" vertical="center" wrapText="1"/>
    </xf>
    <xf numFmtId="0" fontId="6" fillId="0" borderId="55" xfId="0" applyFont="1" applyFill="1" applyBorder="1" applyAlignment="1">
      <alignment horizontal="right" vertical="center"/>
    </xf>
    <xf numFmtId="164" fontId="5" fillId="0" borderId="56" xfId="0" applyNumberFormat="1" applyFont="1" applyFill="1" applyBorder="1" applyAlignment="1">
      <alignment horizontal="left" vertical="center" wrapText="1"/>
    </xf>
    <xf numFmtId="0" fontId="6" fillId="0" borderId="57" xfId="0" applyFont="1" applyBorder="1" applyAlignment="1">
      <alignment horizontal="right" vertical="center"/>
    </xf>
    <xf numFmtId="164" fontId="5" fillId="0" borderId="58" xfId="0" applyNumberFormat="1" applyFont="1" applyBorder="1" applyAlignment="1">
      <alignment horizontal="left" vertical="center" wrapText="1"/>
    </xf>
    <xf numFmtId="0" fontId="6" fillId="0" borderId="71" xfId="0" applyFont="1" applyBorder="1" applyAlignment="1">
      <alignment horizontal="right" vertical="center"/>
    </xf>
    <xf numFmtId="164" fontId="5" fillId="0" borderId="70" xfId="0" applyNumberFormat="1" applyFont="1" applyBorder="1" applyAlignment="1">
      <alignment horizontal="left" vertical="center" wrapText="1"/>
    </xf>
    <xf numFmtId="164" fontId="5" fillId="0" borderId="56" xfId="0" applyNumberFormat="1" applyFont="1" applyBorder="1" applyAlignment="1">
      <alignment horizontal="left" vertical="center" wrapText="1"/>
    </xf>
    <xf numFmtId="0" fontId="6" fillId="0" borderId="59" xfId="0" applyFont="1" applyBorder="1" applyAlignment="1">
      <alignment horizontal="right" vertical="center"/>
    </xf>
    <xf numFmtId="164" fontId="5" fillId="0" borderId="60" xfId="0" applyNumberFormat="1" applyFont="1" applyBorder="1" applyAlignment="1">
      <alignment horizontal="left" vertical="center" wrapText="1"/>
    </xf>
    <xf numFmtId="0" fontId="6" fillId="0" borderId="51" xfId="0" applyFont="1" applyBorder="1" applyAlignment="1">
      <alignment horizontal="right" vertical="center"/>
    </xf>
    <xf numFmtId="164" fontId="5" fillId="0" borderId="52" xfId="0" applyNumberFormat="1" applyFont="1" applyBorder="1" applyAlignment="1">
      <alignment horizontal="left" vertical="center" wrapText="1"/>
    </xf>
    <xf numFmtId="164" fontId="4" fillId="0" borderId="0" xfId="0" applyNumberFormat="1" applyFont="1" applyBorder="1" applyAlignment="1">
      <alignment horizontal="left" vertical="center" wrapText="1"/>
    </xf>
    <xf numFmtId="0" fontId="4" fillId="0" borderId="65" xfId="0" applyFont="1" applyFill="1" applyBorder="1" applyAlignment="1">
      <alignment horizontal="right" vertical="center"/>
    </xf>
    <xf numFmtId="0" fontId="4" fillId="0" borderId="59" xfId="0" applyFont="1" applyFill="1" applyBorder="1" applyAlignment="1">
      <alignment horizontal="left" vertical="center" indent="1"/>
    </xf>
    <xf numFmtId="0" fontId="6" fillId="0" borderId="65" xfId="1" applyFont="1" applyFill="1" applyBorder="1" applyAlignment="1">
      <alignment horizontal="right"/>
    </xf>
    <xf numFmtId="164" fontId="5" fillId="0" borderId="47" xfId="1" applyNumberFormat="1" applyFont="1" applyFill="1" applyBorder="1" applyAlignment="1">
      <alignment horizontal="left" wrapText="1"/>
    </xf>
    <xf numFmtId="164" fontId="5" fillId="0" borderId="60" xfId="1" applyNumberFormat="1" applyFont="1" applyFill="1" applyBorder="1" applyAlignment="1">
      <alignment horizontal="left" wrapText="1"/>
    </xf>
    <xf numFmtId="164" fontId="5" fillId="0" borderId="77" xfId="1" applyNumberFormat="1" applyFont="1" applyBorder="1" applyAlignment="1">
      <alignment horizontal="left" wrapText="1"/>
    </xf>
    <xf numFmtId="0" fontId="18" fillId="0" borderId="0" xfId="1" applyFont="1" applyAlignment="1"/>
    <xf numFmtId="164" fontId="18" fillId="0" borderId="0" xfId="1" applyNumberFormat="1" applyFont="1" applyBorder="1" applyAlignment="1">
      <alignment horizontal="left" wrapText="1"/>
    </xf>
    <xf numFmtId="164" fontId="20" fillId="0" borderId="56" xfId="3" applyNumberFormat="1" applyFill="1" applyBorder="1" applyAlignment="1">
      <alignment horizontal="left" vertical="center" wrapText="1"/>
    </xf>
    <xf numFmtId="0" fontId="5" fillId="0" borderId="0" xfId="1" applyFont="1" applyBorder="1" applyAlignment="1"/>
    <xf numFmtId="0" fontId="7" fillId="0" borderId="0" xfId="1" applyFont="1" applyBorder="1" applyAlignment="1">
      <alignment horizontal="left" wrapText="1"/>
    </xf>
    <xf numFmtId="0" fontId="7" fillId="0" borderId="0" xfId="1" applyFont="1" applyBorder="1"/>
    <xf numFmtId="2" fontId="4" fillId="0" borderId="0" xfId="0" applyNumberFormat="1" applyFont="1" applyAlignment="1">
      <alignment wrapText="1"/>
    </xf>
    <xf numFmtId="2" fontId="22" fillId="0" borderId="26" xfId="0" applyNumberFormat="1" applyFont="1" applyBorder="1" applyAlignment="1">
      <alignment horizontal="right" wrapText="1"/>
    </xf>
    <xf numFmtId="2" fontId="22" fillId="0" borderId="20" xfId="0" applyNumberFormat="1" applyFont="1" applyBorder="1" applyAlignment="1">
      <alignment horizontal="right" wrapText="1"/>
    </xf>
    <xf numFmtId="2" fontId="22" fillId="0" borderId="27" xfId="0" applyNumberFormat="1" applyFont="1" applyBorder="1" applyAlignment="1">
      <alignment horizontal="right" wrapText="1"/>
    </xf>
    <xf numFmtId="0" fontId="21" fillId="0" borderId="32" xfId="0" applyFont="1" applyBorder="1" applyAlignment="1">
      <alignment horizontal="left" vertical="top"/>
    </xf>
    <xf numFmtId="167" fontId="24" fillId="0" borderId="63" xfId="0" applyNumberFormat="1" applyFont="1" applyBorder="1" applyAlignment="1" applyProtection="1">
      <alignment horizontal="left" vertical="center" wrapText="1"/>
    </xf>
    <xf numFmtId="3" fontId="24" fillId="0" borderId="63" xfId="0" applyNumberFormat="1" applyFont="1" applyBorder="1" applyAlignment="1" applyProtection="1">
      <alignment vertical="center" wrapText="1"/>
    </xf>
    <xf numFmtId="3" fontId="24" fillId="0" borderId="19" xfId="0" applyNumberFormat="1" applyFont="1" applyBorder="1" applyAlignment="1" applyProtection="1">
      <alignment vertical="center" wrapText="1"/>
    </xf>
    <xf numFmtId="3" fontId="24" fillId="0" borderId="64" xfId="0" applyNumberFormat="1" applyFont="1" applyBorder="1" applyAlignment="1" applyProtection="1">
      <alignment vertical="center" wrapText="1"/>
    </xf>
    <xf numFmtId="0" fontId="26" fillId="0" borderId="0" xfId="0" applyFont="1" applyAlignment="1">
      <alignment vertical="center"/>
    </xf>
    <xf numFmtId="167" fontId="25" fillId="0" borderId="63" xfId="0" quotePrefix="1" applyNumberFormat="1" applyFont="1" applyBorder="1" applyAlignment="1" applyProtection="1">
      <alignment horizontal="left" vertical="center" indent="1"/>
    </xf>
    <xf numFmtId="2" fontId="24" fillId="0" borderId="63" xfId="0" quotePrefix="1" applyNumberFormat="1" applyFont="1" applyBorder="1" applyAlignment="1" applyProtection="1">
      <alignment horizontal="right" vertical="center" wrapText="1"/>
    </xf>
    <xf numFmtId="2" fontId="24" fillId="0" borderId="19" xfId="0" quotePrefix="1" applyNumberFormat="1" applyFont="1" applyBorder="1" applyAlignment="1" applyProtection="1">
      <alignment horizontal="right" vertical="center" wrapText="1"/>
    </xf>
    <xf numFmtId="2" fontId="24" fillId="0" borderId="64" xfId="0" quotePrefix="1" applyNumberFormat="1" applyFont="1" applyBorder="1" applyAlignment="1" applyProtection="1">
      <alignment horizontal="right" vertical="center" wrapText="1"/>
    </xf>
    <xf numFmtId="0" fontId="27" fillId="0" borderId="0" xfId="0" applyFont="1" applyAlignment="1">
      <alignment vertical="center"/>
    </xf>
    <xf numFmtId="167" fontId="25" fillId="0" borderId="63" xfId="0" applyNumberFormat="1" applyFont="1" applyBorder="1" applyAlignment="1" applyProtection="1">
      <alignment horizontal="left" vertical="center"/>
    </xf>
    <xf numFmtId="3" fontId="25" fillId="0" borderId="63" xfId="0" applyNumberFormat="1" applyFont="1" applyBorder="1" applyAlignment="1" applyProtection="1">
      <alignment horizontal="right" vertical="center" wrapText="1"/>
    </xf>
    <xf numFmtId="3" fontId="25" fillId="0" borderId="19" xfId="0" applyNumberFormat="1" applyFont="1" applyBorder="1" applyAlignment="1" applyProtection="1">
      <alignment horizontal="right" vertical="center" wrapText="1"/>
    </xf>
    <xf numFmtId="3" fontId="25" fillId="0" borderId="64" xfId="0" applyNumberFormat="1" applyFont="1" applyBorder="1" applyAlignment="1" applyProtection="1">
      <alignment horizontal="right" vertical="center" wrapText="1"/>
    </xf>
    <xf numFmtId="3" fontId="27" fillId="0" borderId="0" xfId="0" applyNumberFormat="1" applyFont="1" applyAlignment="1">
      <alignment vertical="center"/>
    </xf>
    <xf numFmtId="166" fontId="25" fillId="0" borderId="63" xfId="2" applyNumberFormat="1" applyFont="1" applyBorder="1" applyAlignment="1" applyProtection="1">
      <alignment horizontal="right" vertical="center" wrapText="1"/>
    </xf>
    <xf numFmtId="166" fontId="25" fillId="0" borderId="19" xfId="2" applyNumberFormat="1" applyFont="1" applyBorder="1" applyAlignment="1" applyProtection="1">
      <alignment horizontal="right" vertical="center" wrapText="1"/>
    </xf>
    <xf numFmtId="166" fontId="25" fillId="0" borderId="64" xfId="2" applyNumberFormat="1" applyFont="1" applyBorder="1" applyAlignment="1" applyProtection="1">
      <alignment horizontal="right" vertical="center" wrapText="1"/>
    </xf>
    <xf numFmtId="3" fontId="25" fillId="0" borderId="63" xfId="0" quotePrefix="1" applyNumberFormat="1" applyFont="1" applyBorder="1" applyAlignment="1" applyProtection="1">
      <alignment horizontal="right" vertical="center" wrapText="1"/>
    </xf>
    <xf numFmtId="3" fontId="25" fillId="0" borderId="19" xfId="0" quotePrefix="1" applyNumberFormat="1" applyFont="1" applyBorder="1" applyAlignment="1" applyProtection="1">
      <alignment horizontal="right" vertical="center" wrapText="1"/>
    </xf>
    <xf numFmtId="3" fontId="25" fillId="0" borderId="64" xfId="0" quotePrefix="1" applyNumberFormat="1" applyFont="1" applyBorder="1" applyAlignment="1" applyProtection="1">
      <alignment horizontal="right" vertical="center" wrapText="1"/>
    </xf>
    <xf numFmtId="167" fontId="25" fillId="0" borderId="67" xfId="0" quotePrefix="1" applyNumberFormat="1" applyFont="1" applyBorder="1" applyAlignment="1" applyProtection="1">
      <alignment horizontal="left" vertical="center" indent="1"/>
    </xf>
    <xf numFmtId="167" fontId="24" fillId="0" borderId="63" xfId="0" quotePrefix="1" applyNumberFormat="1" applyFont="1" applyBorder="1" applyAlignment="1" applyProtection="1">
      <alignment horizontal="left" vertical="center" wrapText="1"/>
    </xf>
    <xf numFmtId="10" fontId="24" fillId="0" borderId="63" xfId="2" applyNumberFormat="1" applyFont="1" applyBorder="1" applyAlignment="1" applyProtection="1">
      <alignment horizontal="right" vertical="center" wrapText="1"/>
    </xf>
    <xf numFmtId="10" fontId="24" fillId="0" borderId="19" xfId="2" applyNumberFormat="1" applyFont="1" applyBorder="1" applyAlignment="1" applyProtection="1">
      <alignment horizontal="right" vertical="center" wrapText="1"/>
    </xf>
    <xf numFmtId="167" fontId="25" fillId="0" borderId="67" xfId="0" applyNumberFormat="1" applyFont="1" applyBorder="1" applyAlignment="1" applyProtection="1">
      <alignment horizontal="left" vertical="center" indent="1"/>
    </xf>
    <xf numFmtId="167" fontId="25" fillId="0" borderId="65" xfId="0" applyNumberFormat="1" applyFont="1" applyBorder="1" applyAlignment="1" applyProtection="1">
      <alignment horizontal="left" vertical="center" indent="1"/>
    </xf>
    <xf numFmtId="3" fontId="25" fillId="0" borderId="65" xfId="0" quotePrefix="1" applyNumberFormat="1" applyFont="1" applyBorder="1" applyAlignment="1" applyProtection="1">
      <alignment horizontal="right" vertical="center" wrapText="1"/>
    </xf>
    <xf numFmtId="3" fontId="25" fillId="0" borderId="49" xfId="0" quotePrefix="1" applyNumberFormat="1" applyFont="1" applyBorder="1" applyAlignment="1" applyProtection="1">
      <alignment horizontal="right" vertical="center" wrapText="1"/>
    </xf>
    <xf numFmtId="3" fontId="25" fillId="0" borderId="66" xfId="0" quotePrefix="1" applyNumberFormat="1" applyFont="1" applyBorder="1" applyAlignment="1" applyProtection="1">
      <alignment horizontal="right" vertical="center" wrapText="1"/>
    </xf>
    <xf numFmtId="167" fontId="25" fillId="0" borderId="0" xfId="0" applyNumberFormat="1" applyFont="1" applyBorder="1" applyAlignment="1" applyProtection="1">
      <alignment horizontal="left" vertical="center" indent="1"/>
    </xf>
    <xf numFmtId="3" fontId="25" fillId="0" borderId="0" xfId="0" quotePrefix="1" applyNumberFormat="1" applyFont="1" applyBorder="1" applyAlignment="1" applyProtection="1">
      <alignment horizontal="right" vertical="center" wrapText="1"/>
    </xf>
    <xf numFmtId="3" fontId="25" fillId="0" borderId="0" xfId="0" quotePrefix="1" applyNumberFormat="1" applyFont="1" applyFill="1" applyBorder="1" applyAlignment="1" applyProtection="1">
      <alignment horizontal="right" vertical="center" wrapText="1"/>
    </xf>
    <xf numFmtId="167" fontId="24" fillId="0" borderId="26" xfId="0" applyNumberFormat="1" applyFont="1" applyBorder="1" applyAlignment="1" applyProtection="1">
      <alignment horizontal="left" vertical="center" indent="1"/>
    </xf>
    <xf numFmtId="3" fontId="24" fillId="0" borderId="20" xfId="0" quotePrefix="1" applyNumberFormat="1" applyFont="1" applyBorder="1" applyAlignment="1" applyProtection="1">
      <alignment horizontal="right" vertical="center" wrapText="1"/>
    </xf>
    <xf numFmtId="1" fontId="24" fillId="5" borderId="20" xfId="0" quotePrefix="1" applyNumberFormat="1" applyFont="1" applyFill="1" applyBorder="1" applyAlignment="1" applyProtection="1">
      <alignment horizontal="right" vertical="center" wrapText="1"/>
    </xf>
    <xf numFmtId="1" fontId="24" fillId="4" borderId="19" xfId="0" quotePrefix="1" applyNumberFormat="1" applyFont="1" applyFill="1" applyBorder="1" applyAlignment="1" applyProtection="1">
      <alignment horizontal="right" vertical="center" wrapText="1"/>
    </xf>
    <xf numFmtId="1" fontId="24" fillId="4" borderId="24" xfId="0" quotePrefix="1" applyNumberFormat="1" applyFont="1" applyFill="1" applyBorder="1" applyAlignment="1" applyProtection="1">
      <alignment horizontal="right" vertical="center" wrapText="1"/>
    </xf>
    <xf numFmtId="1" fontId="24" fillId="5" borderId="19" xfId="0" quotePrefix="1" applyNumberFormat="1" applyFont="1" applyFill="1" applyBorder="1" applyAlignment="1" applyProtection="1">
      <alignment horizontal="right" vertical="center" wrapText="1"/>
    </xf>
    <xf numFmtId="1" fontId="24" fillId="4" borderId="20" xfId="0" quotePrefix="1" applyNumberFormat="1" applyFont="1" applyFill="1" applyBorder="1" applyAlignment="1" applyProtection="1">
      <alignment horizontal="right" vertical="center" wrapText="1"/>
    </xf>
    <xf numFmtId="1" fontId="24" fillId="5" borderId="24" xfId="0" quotePrefix="1" applyNumberFormat="1" applyFont="1" applyFill="1" applyBorder="1" applyAlignment="1" applyProtection="1">
      <alignment horizontal="right" vertical="center" wrapText="1"/>
    </xf>
    <xf numFmtId="1" fontId="24" fillId="4" borderId="0" xfId="0" quotePrefix="1" applyNumberFormat="1" applyFont="1" applyFill="1" applyBorder="1" applyAlignment="1" applyProtection="1">
      <alignment horizontal="right" vertical="center" wrapText="1"/>
    </xf>
    <xf numFmtId="0" fontId="23" fillId="0" borderId="0" xfId="0" applyFont="1"/>
    <xf numFmtId="0" fontId="25" fillId="0" borderId="0" xfId="1" applyFont="1" applyFill="1"/>
    <xf numFmtId="2" fontId="22" fillId="0" borderId="0" xfId="0" applyNumberFormat="1" applyFont="1" applyFill="1" applyAlignment="1">
      <alignment wrapText="1"/>
    </xf>
    <xf numFmtId="2" fontId="22" fillId="0" borderId="20" xfId="0" applyNumberFormat="1" applyFont="1" applyFill="1" applyBorder="1" applyAlignment="1">
      <alignment horizontal="right" wrapText="1"/>
    </xf>
    <xf numFmtId="3" fontId="24" fillId="0" borderId="19" xfId="0" applyNumberFormat="1" applyFont="1" applyFill="1" applyBorder="1" applyAlignment="1" applyProtection="1">
      <alignment vertical="center" wrapText="1"/>
    </xf>
    <xf numFmtId="3" fontId="25" fillId="0" borderId="19" xfId="0" applyNumberFormat="1" applyFont="1" applyFill="1" applyBorder="1" applyAlignment="1" applyProtection="1">
      <alignment horizontal="right" vertical="center" wrapText="1"/>
    </xf>
    <xf numFmtId="166" fontId="25" fillId="0" borderId="19" xfId="2" applyNumberFormat="1" applyFont="1" applyFill="1" applyBorder="1" applyAlignment="1" applyProtection="1">
      <alignment horizontal="right" vertical="center" wrapText="1"/>
    </xf>
    <xf numFmtId="3" fontId="25" fillId="0" borderId="19" xfId="0" quotePrefix="1" applyNumberFormat="1" applyFont="1" applyFill="1" applyBorder="1" applyAlignment="1" applyProtection="1">
      <alignment horizontal="right" vertical="center" wrapText="1"/>
    </xf>
    <xf numFmtId="3" fontId="24" fillId="0" borderId="63" xfId="0" applyNumberFormat="1" applyFont="1" applyFill="1" applyBorder="1" applyAlignment="1" applyProtection="1">
      <alignment vertical="center" wrapText="1"/>
    </xf>
    <xf numFmtId="10" fontId="24" fillId="0" borderId="63" xfId="2" applyNumberFormat="1" applyFont="1" applyFill="1" applyBorder="1" applyAlignment="1">
      <alignment vertical="center"/>
    </xf>
    <xf numFmtId="3" fontId="25" fillId="0" borderId="49" xfId="0" quotePrefix="1" applyNumberFormat="1" applyFont="1" applyFill="1" applyBorder="1" applyAlignment="1" applyProtection="1">
      <alignment horizontal="right" vertical="center" wrapText="1"/>
    </xf>
    <xf numFmtId="0" fontId="0" fillId="0" borderId="0" xfId="0" applyAlignment="1">
      <alignment wrapText="1"/>
    </xf>
    <xf numFmtId="0" fontId="0" fillId="0" borderId="0" xfId="0" applyAlignment="1"/>
    <xf numFmtId="164" fontId="4" fillId="0" borderId="53" xfId="0" applyNumberFormat="1" applyFont="1" applyBorder="1" applyAlignment="1">
      <alignment horizontal="center" vertical="top" wrapText="1"/>
    </xf>
    <xf numFmtId="0" fontId="6" fillId="0" borderId="73" xfId="0" applyFont="1" applyFill="1" applyBorder="1" applyAlignment="1">
      <alignment horizontal="right"/>
    </xf>
    <xf numFmtId="0" fontId="7" fillId="0" borderId="0" xfId="1" applyFill="1" applyBorder="1"/>
    <xf numFmtId="0" fontId="7" fillId="0" borderId="0" xfId="1" applyFill="1" applyBorder="1" applyAlignment="1">
      <alignment horizontal="left" wrapText="1"/>
    </xf>
    <xf numFmtId="0" fontId="7" fillId="0" borderId="0" xfId="1" applyFill="1"/>
    <xf numFmtId="0" fontId="3" fillId="0" borderId="0" xfId="0" applyFont="1" applyAlignment="1">
      <alignment horizontal="right" vertical="top"/>
    </xf>
    <xf numFmtId="0" fontId="3" fillId="0" borderId="0" xfId="0" applyFont="1" applyBorder="1" applyAlignment="1">
      <alignment horizontal="right" vertical="top"/>
    </xf>
    <xf numFmtId="0" fontId="3" fillId="0" borderId="0" xfId="0" applyFont="1" applyBorder="1" applyAlignment="1">
      <alignment horizontal="left" vertical="center"/>
    </xf>
    <xf numFmtId="0" fontId="3" fillId="0" borderId="0" xfId="0" applyFont="1" applyAlignment="1"/>
    <xf numFmtId="0" fontId="4" fillId="0" borderId="42" xfId="0" applyFont="1" applyBorder="1" applyAlignment="1">
      <alignment horizontal="center" vertical="center"/>
    </xf>
    <xf numFmtId="0" fontId="4" fillId="0" borderId="0" xfId="0" applyFont="1" applyFill="1" applyBorder="1" applyAlignment="1">
      <alignment horizontal="right" vertical="center"/>
    </xf>
    <xf numFmtId="166" fontId="3" fillId="0" borderId="0" xfId="0" applyNumberFormat="1" applyFont="1" applyFill="1" applyBorder="1" applyAlignment="1">
      <alignment horizontal="right" vertical="center"/>
    </xf>
    <xf numFmtId="164" fontId="5" fillId="0" borderId="0" xfId="1" applyNumberFormat="1" applyFont="1" applyFill="1" applyBorder="1" applyAlignment="1">
      <alignment horizontal="right"/>
    </xf>
    <xf numFmtId="165" fontId="3" fillId="0" borderId="0" xfId="0" applyNumberFormat="1" applyFont="1" applyFill="1" applyAlignment="1">
      <alignment horizontal="right" vertical="center" indent="1"/>
    </xf>
    <xf numFmtId="0" fontId="3" fillId="0" borderId="0" xfId="0" applyFont="1" applyFill="1" applyAlignment="1">
      <alignment horizontal="right" vertical="center" indent="1"/>
    </xf>
    <xf numFmtId="0" fontId="6" fillId="0" borderId="0" xfId="0" applyFont="1" applyFill="1" applyBorder="1" applyAlignment="1">
      <alignment horizontal="right" vertical="center"/>
    </xf>
    <xf numFmtId="165" fontId="5" fillId="0" borderId="0" xfId="0" applyNumberFormat="1" applyFont="1" applyFill="1" applyBorder="1" applyAlignment="1">
      <alignment horizontal="right"/>
    </xf>
    <xf numFmtId="164" fontId="5" fillId="0" borderId="0" xfId="0" applyNumberFormat="1" applyFont="1" applyFill="1" applyBorder="1" applyAlignment="1">
      <alignment horizontal="right"/>
    </xf>
    <xf numFmtId="164" fontId="3" fillId="0" borderId="0" xfId="0" applyNumberFormat="1" applyFont="1" applyFill="1" applyBorder="1" applyAlignment="1">
      <alignment horizontal="right"/>
    </xf>
    <xf numFmtId="166" fontId="5" fillId="0" borderId="0" xfId="0" applyNumberFormat="1" applyFont="1" applyFill="1" applyBorder="1" applyAlignment="1">
      <alignment horizontal="right"/>
    </xf>
    <xf numFmtId="3" fontId="5" fillId="0" borderId="0" xfId="0" applyNumberFormat="1" applyFont="1" applyFill="1" applyBorder="1" applyAlignment="1">
      <alignment horizontal="right"/>
    </xf>
    <xf numFmtId="1" fontId="24" fillId="0" borderId="0" xfId="0" quotePrefix="1" applyNumberFormat="1" applyFont="1" applyFill="1" applyBorder="1" applyAlignment="1" applyProtection="1">
      <alignment horizontal="right" vertical="center" wrapText="1"/>
    </xf>
    <xf numFmtId="0" fontId="0" fillId="0" borderId="0" xfId="0" applyFont="1" applyFill="1" applyBorder="1" applyAlignment="1">
      <alignment horizontal="left" vertical="center" wrapText="1" indent="1"/>
    </xf>
    <xf numFmtId="3" fontId="25" fillId="0" borderId="0" xfId="0" quotePrefix="1" applyNumberFormat="1" applyFont="1" applyFill="1" applyBorder="1" applyAlignment="1" applyProtection="1">
      <alignment horizontal="left" vertical="center" wrapText="1"/>
    </xf>
    <xf numFmtId="0" fontId="0" fillId="0" borderId="0" xfId="0" applyFill="1" applyBorder="1" applyAlignment="1">
      <alignment horizontal="left" vertical="center" wrapText="1"/>
    </xf>
    <xf numFmtId="0" fontId="26" fillId="0" borderId="0" xfId="0" applyFont="1" applyFill="1" applyAlignment="1">
      <alignment vertical="center"/>
    </xf>
    <xf numFmtId="0" fontId="28" fillId="0" borderId="0" xfId="1" applyFont="1" applyBorder="1"/>
    <xf numFmtId="2" fontId="22" fillId="0" borderId="0" xfId="0" applyNumberFormat="1" applyFont="1" applyBorder="1" applyAlignment="1">
      <alignment wrapText="1"/>
    </xf>
    <xf numFmtId="0" fontId="23" fillId="0" borderId="26" xfId="0" applyFont="1" applyBorder="1" applyAlignment="1">
      <alignment horizontal="left" vertical="top" wrapText="1"/>
    </xf>
    <xf numFmtId="0" fontId="4" fillId="0" borderId="23" xfId="0" applyFont="1" applyBorder="1" applyAlignment="1">
      <alignment horizontal="right" wrapText="1"/>
    </xf>
    <xf numFmtId="0" fontId="4" fillId="0" borderId="24" xfId="0" applyFont="1" applyBorder="1" applyAlignment="1">
      <alignment horizontal="right" vertical="top" wrapText="1"/>
    </xf>
    <xf numFmtId="0" fontId="4" fillId="0" borderId="25" xfId="0" applyFont="1" applyBorder="1" applyAlignment="1">
      <alignment horizontal="right" vertical="top" wrapText="1"/>
    </xf>
    <xf numFmtId="0" fontId="4" fillId="0" borderId="0" xfId="0" applyFont="1" applyBorder="1" applyAlignment="1">
      <alignment horizontal="right" vertical="top" wrapText="1"/>
    </xf>
    <xf numFmtId="0" fontId="4" fillId="0" borderId="26" xfId="0" applyFont="1" applyBorder="1" applyAlignment="1">
      <alignment wrapText="1"/>
    </xf>
    <xf numFmtId="0" fontId="4" fillId="0" borderId="20" xfId="0" applyFont="1" applyBorder="1" applyAlignment="1">
      <alignment wrapText="1"/>
    </xf>
    <xf numFmtId="0" fontId="4" fillId="0" borderId="31" xfId="0" applyFont="1" applyBorder="1" applyAlignment="1">
      <alignment horizontal="right" vertical="top" wrapText="1"/>
    </xf>
    <xf numFmtId="0" fontId="3" fillId="0" borderId="0" xfId="0" applyFont="1" applyAlignment="1">
      <alignment vertical="top"/>
    </xf>
    <xf numFmtId="0" fontId="38" fillId="0" borderId="46" xfId="0" applyFont="1" applyFill="1" applyBorder="1" applyAlignment="1">
      <alignment horizontal="left" wrapText="1"/>
    </xf>
    <xf numFmtId="0" fontId="4" fillId="0" borderId="30" xfId="0" applyFont="1" applyBorder="1" applyAlignment="1">
      <alignment horizontal="right" wrapText="1"/>
    </xf>
    <xf numFmtId="0" fontId="1" fillId="0" borderId="0" xfId="4"/>
    <xf numFmtId="0" fontId="1" fillId="0" borderId="0" xfId="4" applyAlignment="1" applyProtection="1">
      <alignment horizontal="right"/>
      <protection locked="0"/>
    </xf>
    <xf numFmtId="0" fontId="1" fillId="0" borderId="0" xfId="4" applyFill="1"/>
    <xf numFmtId="167" fontId="24" fillId="0" borderId="26" xfId="4" applyNumberFormat="1" applyFont="1" applyBorder="1" applyAlignment="1" applyProtection="1">
      <alignment vertical="center"/>
      <protection locked="0"/>
    </xf>
    <xf numFmtId="0" fontId="1" fillId="0" borderId="0" xfId="4" applyAlignment="1">
      <alignment vertical="center"/>
    </xf>
    <xf numFmtId="167" fontId="23" fillId="0" borderId="68" xfId="4" applyNumberFormat="1" applyFont="1" applyBorder="1" applyAlignment="1" applyProtection="1">
      <alignment vertical="center" wrapText="1"/>
      <protection locked="0"/>
    </xf>
    <xf numFmtId="167" fontId="22" fillId="0" borderId="63" xfId="4" applyNumberFormat="1" applyFont="1" applyBorder="1" applyAlignment="1" applyProtection="1">
      <alignment vertical="center"/>
    </xf>
    <xf numFmtId="0" fontId="44" fillId="0" borderId="0" xfId="4" applyFont="1" applyAlignment="1">
      <alignment vertical="center"/>
    </xf>
    <xf numFmtId="167" fontId="22" fillId="0" borderId="63" xfId="4" quotePrefix="1" applyNumberFormat="1" applyFont="1" applyBorder="1" applyAlignment="1" applyProtection="1">
      <alignment vertical="center"/>
    </xf>
    <xf numFmtId="0" fontId="1" fillId="0" borderId="0" xfId="4" applyFont="1" applyAlignment="1">
      <alignment vertical="center"/>
    </xf>
    <xf numFmtId="167" fontId="23" fillId="0" borderId="63" xfId="4" quotePrefix="1" applyNumberFormat="1" applyFont="1" applyBorder="1" applyAlignment="1" applyProtection="1">
      <alignment vertical="center"/>
    </xf>
    <xf numFmtId="167" fontId="22" fillId="0" borderId="65" xfId="4" quotePrefix="1" applyNumberFormat="1" applyFont="1" applyBorder="1" applyAlignment="1" applyProtection="1">
      <alignment vertical="center"/>
    </xf>
    <xf numFmtId="0" fontId="1" fillId="0" borderId="0" xfId="4" applyProtection="1">
      <protection locked="0"/>
    </xf>
    <xf numFmtId="0" fontId="4" fillId="0" borderId="61" xfId="0" applyFont="1" applyFill="1" applyBorder="1" applyAlignment="1">
      <alignment horizontal="right" vertical="center"/>
    </xf>
    <xf numFmtId="0" fontId="5" fillId="0" borderId="0" xfId="1" applyFont="1" applyAlignment="1"/>
    <xf numFmtId="0" fontId="4" fillId="0" borderId="55" xfId="0" applyFont="1" applyFill="1" applyBorder="1" applyAlignment="1">
      <alignment horizontal="left" vertical="center" indent="1"/>
    </xf>
    <xf numFmtId="10" fontId="24" fillId="0" borderId="19" xfId="2" applyNumberFormat="1" applyFont="1" applyFill="1" applyBorder="1" applyAlignment="1">
      <alignment vertical="center"/>
    </xf>
    <xf numFmtId="164" fontId="20" fillId="0" borderId="9" xfId="3" applyNumberFormat="1" applyFill="1" applyBorder="1" applyAlignment="1">
      <alignment horizontal="left" vertical="center" wrapText="1"/>
    </xf>
    <xf numFmtId="0" fontId="1" fillId="0" borderId="0" xfId="4" applyFill="1" applyBorder="1" applyAlignment="1">
      <alignment horizontal="right"/>
    </xf>
    <xf numFmtId="164" fontId="1" fillId="0" borderId="0" xfId="4" applyNumberFormat="1" applyFill="1"/>
    <xf numFmtId="0" fontId="11" fillId="0" borderId="61" xfId="1" applyFont="1" applyFill="1" applyBorder="1" applyAlignment="1">
      <alignment horizontal="right" wrapText="1"/>
    </xf>
    <xf numFmtId="164" fontId="5" fillId="0" borderId="44" xfId="1" applyNumberFormat="1" applyFont="1" applyFill="1" applyBorder="1" applyAlignment="1">
      <alignment horizontal="left" wrapText="1"/>
    </xf>
    <xf numFmtId="0" fontId="11" fillId="0" borderId="63" xfId="1" applyFont="1" applyFill="1" applyBorder="1" applyAlignment="1">
      <alignment horizontal="right" wrapText="1"/>
    </xf>
    <xf numFmtId="164" fontId="5" fillId="0" borderId="19" xfId="1" applyNumberFormat="1" applyFont="1" applyFill="1" applyBorder="1" applyAlignment="1">
      <alignment horizontal="left" wrapText="1"/>
    </xf>
    <xf numFmtId="0" fontId="11" fillId="0" borderId="65" xfId="1" applyFont="1" applyFill="1" applyBorder="1" applyAlignment="1">
      <alignment horizontal="right" wrapText="1"/>
    </xf>
    <xf numFmtId="164" fontId="5" fillId="0" borderId="49" xfId="1" applyNumberFormat="1" applyFont="1" applyFill="1" applyBorder="1" applyAlignment="1">
      <alignment horizontal="left" wrapText="1"/>
    </xf>
    <xf numFmtId="164" fontId="5" fillId="0" borderId="0" xfId="1" applyNumberFormat="1" applyFont="1" applyFill="1" applyBorder="1" applyAlignment="1">
      <alignment horizontal="left" wrapText="1"/>
    </xf>
    <xf numFmtId="0" fontId="11" fillId="0" borderId="67" xfId="1" applyFont="1" applyFill="1" applyBorder="1" applyAlignment="1">
      <alignment horizontal="right" wrapText="1"/>
    </xf>
    <xf numFmtId="164" fontId="5" fillId="0" borderId="22" xfId="1" applyNumberFormat="1" applyFont="1" applyFill="1" applyBorder="1" applyAlignment="1">
      <alignment horizontal="left" wrapText="1"/>
    </xf>
    <xf numFmtId="164" fontId="5" fillId="0" borderId="62" xfId="0" applyNumberFormat="1" applyFont="1" applyFill="1" applyBorder="1" applyAlignment="1">
      <alignment horizontal="left" wrapText="1"/>
    </xf>
    <xf numFmtId="0" fontId="5" fillId="0" borderId="0" xfId="1" applyFont="1" applyFill="1" applyBorder="1" applyAlignment="1">
      <alignment horizontal="center"/>
    </xf>
    <xf numFmtId="164" fontId="5" fillId="0" borderId="64" xfId="0" applyNumberFormat="1" applyFont="1" applyFill="1" applyBorder="1" applyAlignment="1">
      <alignment horizontal="left" wrapText="1"/>
    </xf>
    <xf numFmtId="164" fontId="5" fillId="0" borderId="66" xfId="0" applyNumberFormat="1" applyFont="1" applyFill="1" applyBorder="1" applyAlignment="1">
      <alignment horizontal="left" wrapText="1"/>
    </xf>
    <xf numFmtId="0" fontId="19" fillId="0" borderId="0" xfId="1" applyFont="1" applyFill="1" applyBorder="1" applyAlignment="1">
      <alignment horizontal="right" wrapText="1"/>
    </xf>
    <xf numFmtId="164" fontId="18" fillId="0" borderId="0" xfId="0" applyNumberFormat="1" applyFont="1" applyFill="1" applyBorder="1" applyAlignment="1">
      <alignment horizontal="right"/>
    </xf>
    <xf numFmtId="166" fontId="18" fillId="0" borderId="0" xfId="2" applyNumberFormat="1" applyFont="1" applyFill="1" applyBorder="1" applyAlignment="1">
      <alignment horizontal="right"/>
    </xf>
    <xf numFmtId="164" fontId="18" fillId="0" borderId="0" xfId="1" applyNumberFormat="1" applyFont="1" applyFill="1" applyBorder="1" applyAlignment="1">
      <alignment horizontal="left" wrapText="1"/>
    </xf>
    <xf numFmtId="164" fontId="5" fillId="0" borderId="58" xfId="0" applyNumberFormat="1" applyFont="1" applyFill="1" applyBorder="1" applyAlignment="1">
      <alignment horizontal="right"/>
    </xf>
    <xf numFmtId="164" fontId="5" fillId="0" borderId="70" xfId="0" applyNumberFormat="1" applyFont="1" applyFill="1" applyBorder="1" applyAlignment="1">
      <alignment horizontal="right"/>
    </xf>
    <xf numFmtId="164" fontId="5" fillId="0" borderId="60" xfId="0" applyNumberFormat="1" applyFont="1" applyFill="1" applyBorder="1" applyAlignment="1">
      <alignment horizontal="right"/>
    </xf>
    <xf numFmtId="164" fontId="22" fillId="0" borderId="19" xfId="4" applyNumberFormat="1" applyFont="1" applyFill="1" applyBorder="1" applyAlignment="1" applyProtection="1">
      <alignment horizontal="right" vertical="center"/>
      <protection locked="0"/>
    </xf>
    <xf numFmtId="164" fontId="24" fillId="0" borderId="19" xfId="4" applyNumberFormat="1" applyFont="1" applyFill="1" applyBorder="1" applyAlignment="1" applyProtection="1">
      <alignment horizontal="right" vertical="center"/>
      <protection locked="0"/>
    </xf>
    <xf numFmtId="164" fontId="23" fillId="0" borderId="19" xfId="4" applyNumberFormat="1" applyFont="1" applyFill="1" applyBorder="1" applyAlignment="1" applyProtection="1">
      <alignment horizontal="right" vertical="center"/>
      <protection locked="0"/>
    </xf>
    <xf numFmtId="164" fontId="22" fillId="0" borderId="49" xfId="4" applyNumberFormat="1" applyFont="1" applyFill="1" applyBorder="1" applyAlignment="1" applyProtection="1">
      <alignment horizontal="right" vertical="center"/>
      <protection locked="0"/>
    </xf>
    <xf numFmtId="164" fontId="23" fillId="3" borderId="64" xfId="4" applyNumberFormat="1" applyFont="1" applyFill="1" applyBorder="1" applyAlignment="1" applyProtection="1">
      <alignment horizontal="right" vertical="center"/>
      <protection locked="0"/>
    </xf>
    <xf numFmtId="164" fontId="22" fillId="3" borderId="64" xfId="4" applyNumberFormat="1" applyFont="1" applyFill="1" applyBorder="1" applyAlignment="1" applyProtection="1">
      <alignment horizontal="right" vertical="center"/>
      <protection locked="0"/>
    </xf>
    <xf numFmtId="164" fontId="22" fillId="3" borderId="66" xfId="4" applyNumberFormat="1" applyFont="1" applyFill="1" applyBorder="1" applyAlignment="1" applyProtection="1">
      <alignment horizontal="right" vertical="center"/>
      <protection locked="0"/>
    </xf>
    <xf numFmtId="2" fontId="22" fillId="0" borderId="27" xfId="0" applyNumberFormat="1" applyFont="1" applyFill="1" applyBorder="1" applyAlignment="1">
      <alignment horizontal="right" wrapText="1"/>
    </xf>
    <xf numFmtId="3" fontId="24" fillId="0" borderId="64" xfId="0" applyNumberFormat="1" applyFont="1" applyFill="1" applyBorder="1" applyAlignment="1" applyProtection="1">
      <alignment vertical="center" wrapText="1"/>
    </xf>
    <xf numFmtId="3" fontId="25" fillId="0" borderId="64" xfId="0" applyNumberFormat="1" applyFont="1" applyFill="1" applyBorder="1" applyAlignment="1" applyProtection="1">
      <alignment horizontal="right" vertical="center" wrapText="1"/>
    </xf>
    <xf numFmtId="166" fontId="25" fillId="0" borderId="64" xfId="2" applyNumberFormat="1" applyFont="1" applyFill="1" applyBorder="1" applyAlignment="1" applyProtection="1">
      <alignment horizontal="right" vertical="center" wrapText="1"/>
    </xf>
    <xf numFmtId="3" fontId="25" fillId="0" borderId="64" xfId="0" quotePrefix="1" applyNumberFormat="1" applyFont="1" applyFill="1" applyBorder="1" applyAlignment="1" applyProtection="1">
      <alignment horizontal="right" vertical="center" wrapText="1"/>
    </xf>
    <xf numFmtId="10" fontId="24" fillId="0" borderId="64" xfId="2" applyNumberFormat="1" applyFont="1" applyFill="1" applyBorder="1" applyAlignment="1">
      <alignment vertical="center"/>
    </xf>
    <xf numFmtId="3" fontId="25" fillId="0" borderId="66" xfId="0" quotePrefix="1" applyNumberFormat="1" applyFont="1" applyFill="1" applyBorder="1" applyAlignment="1" applyProtection="1">
      <alignment horizontal="right" vertical="center" wrapText="1"/>
    </xf>
    <xf numFmtId="0" fontId="5" fillId="0" borderId="0" xfId="1" applyFont="1" applyAlignment="1"/>
    <xf numFmtId="0" fontId="6" fillId="0" borderId="6" xfId="0" applyFont="1" applyFill="1" applyBorder="1" applyAlignment="1">
      <alignment horizontal="right"/>
    </xf>
    <xf numFmtId="0" fontId="6" fillId="0" borderId="72" xfId="0" applyFont="1" applyFill="1" applyBorder="1" applyAlignment="1">
      <alignment horizontal="right"/>
    </xf>
    <xf numFmtId="0" fontId="6" fillId="3" borderId="23" xfId="1" applyFont="1" applyFill="1" applyBorder="1" applyAlignment="1">
      <alignment horizontal="right"/>
    </xf>
    <xf numFmtId="164" fontId="5" fillId="3" borderId="11" xfId="1" applyNumberFormat="1" applyFont="1" applyFill="1" applyBorder="1" applyAlignment="1">
      <alignment horizontal="left" wrapText="1"/>
    </xf>
    <xf numFmtId="164" fontId="5" fillId="3" borderId="12" xfId="1" applyNumberFormat="1" applyFont="1" applyFill="1" applyBorder="1" applyAlignment="1">
      <alignment horizontal="left" wrapText="1"/>
    </xf>
    <xf numFmtId="0" fontId="27" fillId="0" borderId="0" xfId="4" applyFont="1" applyAlignment="1" applyProtection="1">
      <alignment horizontal="right"/>
      <protection locked="0"/>
    </xf>
    <xf numFmtId="164" fontId="25" fillId="0" borderId="19" xfId="4" applyNumberFormat="1" applyFont="1" applyFill="1" applyBorder="1" applyAlignment="1" applyProtection="1">
      <alignment horizontal="right" vertical="center"/>
      <protection locked="0"/>
    </xf>
    <xf numFmtId="164" fontId="24" fillId="0" borderId="49" xfId="4" applyNumberFormat="1" applyFont="1" applyFill="1" applyBorder="1" applyAlignment="1" applyProtection="1">
      <alignment horizontal="right" vertical="center"/>
      <protection locked="0"/>
    </xf>
    <xf numFmtId="0" fontId="27" fillId="0" borderId="0" xfId="4" applyFont="1" applyProtection="1">
      <protection locked="0"/>
    </xf>
    <xf numFmtId="0" fontId="4" fillId="0" borderId="28" xfId="0" applyFont="1" applyBorder="1" applyAlignment="1">
      <alignment horizontal="right" wrapText="1" indent="1"/>
    </xf>
    <xf numFmtId="0" fontId="4" fillId="0" borderId="55" xfId="0" applyFont="1" applyBorder="1" applyAlignment="1">
      <alignment horizontal="right" vertical="center" indent="1"/>
    </xf>
    <xf numFmtId="0" fontId="4" fillId="0" borderId="57" xfId="0" applyFont="1" applyBorder="1" applyAlignment="1">
      <alignment horizontal="right" vertical="center" indent="1"/>
    </xf>
    <xf numFmtId="0" fontId="4" fillId="0" borderId="59" xfId="0" applyFont="1" applyBorder="1" applyAlignment="1">
      <alignment horizontal="right" vertical="center" indent="1"/>
    </xf>
    <xf numFmtId="0" fontId="4" fillId="0" borderId="51" xfId="0" applyFont="1" applyBorder="1" applyAlignment="1">
      <alignment horizontal="right" vertical="center" indent="1"/>
    </xf>
    <xf numFmtId="164" fontId="3" fillId="0" borderId="43" xfId="0" applyNumberFormat="1" applyFont="1" applyBorder="1" applyAlignment="1">
      <alignment horizontal="right" vertical="center" indent="1"/>
    </xf>
    <xf numFmtId="164" fontId="3" fillId="0" borderId="44" xfId="0" applyNumberFormat="1" applyFont="1" applyBorder="1" applyAlignment="1">
      <alignment horizontal="right" vertical="center" indent="1"/>
    </xf>
    <xf numFmtId="164" fontId="3" fillId="0" borderId="45" xfId="0" applyNumberFormat="1" applyFont="1" applyBorder="1" applyAlignment="1">
      <alignment horizontal="right" vertical="center" indent="1"/>
    </xf>
    <xf numFmtId="164" fontId="3" fillId="0" borderId="44" xfId="0" applyNumberFormat="1" applyFont="1" applyFill="1" applyBorder="1" applyAlignment="1">
      <alignment horizontal="right" vertical="center" indent="1"/>
    </xf>
    <xf numFmtId="166" fontId="3" fillId="0" borderId="45" xfId="0" applyNumberFormat="1" applyFont="1" applyBorder="1" applyAlignment="1">
      <alignment horizontal="right" vertical="center" indent="1"/>
    </xf>
    <xf numFmtId="164" fontId="5" fillId="0" borderId="37" xfId="1" applyNumberFormat="1" applyFont="1" applyFill="1" applyBorder="1" applyAlignment="1">
      <alignment horizontal="right" vertical="center" indent="1"/>
    </xf>
    <xf numFmtId="164" fontId="3" fillId="0" borderId="56" xfId="0" applyNumberFormat="1"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19" xfId="0" applyNumberFormat="1" applyFont="1" applyBorder="1" applyAlignment="1">
      <alignment horizontal="right" vertical="center" indent="1"/>
    </xf>
    <xf numFmtId="164" fontId="3" fillId="0" borderId="35" xfId="0" applyNumberFormat="1" applyFont="1" applyBorder="1" applyAlignment="1">
      <alignment horizontal="right" vertical="center" indent="1"/>
    </xf>
    <xf numFmtId="164" fontId="3" fillId="0" borderId="19" xfId="0" applyNumberFormat="1" applyFont="1" applyFill="1" applyBorder="1" applyAlignment="1">
      <alignment horizontal="right" vertical="center" indent="1"/>
    </xf>
    <xf numFmtId="166" fontId="3" fillId="0" borderId="35" xfId="0" applyNumberFormat="1" applyFont="1" applyBorder="1" applyAlignment="1">
      <alignment horizontal="right" vertical="center" indent="1"/>
    </xf>
    <xf numFmtId="164" fontId="5" fillId="0" borderId="33" xfId="1" applyNumberFormat="1" applyFont="1" applyFill="1" applyBorder="1" applyAlignment="1">
      <alignment horizontal="right" vertical="center" indent="1"/>
    </xf>
    <xf numFmtId="164" fontId="3" fillId="0" borderId="58" xfId="0" applyNumberFormat="1" applyFont="1" applyBorder="1" applyAlignment="1">
      <alignment horizontal="right" vertical="center" indent="1"/>
    </xf>
    <xf numFmtId="164" fontId="3" fillId="0" borderId="48" xfId="0" applyNumberFormat="1" applyFont="1" applyBorder="1" applyAlignment="1">
      <alignment horizontal="right" vertical="center" indent="1"/>
    </xf>
    <xf numFmtId="164" fontId="3" fillId="0" borderId="49" xfId="0" applyNumberFormat="1" applyFont="1" applyBorder="1" applyAlignment="1">
      <alignment horizontal="right" vertical="center" indent="1"/>
    </xf>
    <xf numFmtId="164" fontId="3" fillId="0" borderId="50" xfId="0" applyNumberFormat="1" applyFont="1" applyBorder="1" applyAlignment="1">
      <alignment horizontal="right" vertical="center" indent="1"/>
    </xf>
    <xf numFmtId="164" fontId="3" fillId="0" borderId="49" xfId="0" applyNumberFormat="1" applyFont="1" applyFill="1" applyBorder="1" applyAlignment="1">
      <alignment horizontal="right" vertical="center" indent="1"/>
    </xf>
    <xf numFmtId="166" fontId="3" fillId="0" borderId="50" xfId="0" applyNumberFormat="1" applyFont="1" applyBorder="1" applyAlignment="1">
      <alignment horizontal="right" vertical="center" indent="1"/>
    </xf>
    <xf numFmtId="164" fontId="5" fillId="0" borderId="36" xfId="1" applyNumberFormat="1" applyFont="1" applyFill="1" applyBorder="1" applyAlignment="1">
      <alignment horizontal="right" vertical="center" indent="1"/>
    </xf>
    <xf numFmtId="164" fontId="3" fillId="0" borderId="60" xfId="0" applyNumberFormat="1" applyFont="1" applyBorder="1" applyAlignment="1">
      <alignment horizontal="right" vertical="center" indent="1"/>
    </xf>
    <xf numFmtId="164" fontId="3" fillId="0" borderId="45" xfId="0" applyNumberFormat="1" applyFont="1" applyFill="1" applyBorder="1" applyAlignment="1">
      <alignment horizontal="right" vertical="center" indent="1"/>
    </xf>
    <xf numFmtId="164" fontId="5" fillId="0" borderId="42" xfId="1" applyNumberFormat="1" applyFont="1" applyFill="1" applyBorder="1" applyAlignment="1">
      <alignment horizontal="right" vertical="center" indent="1"/>
    </xf>
    <xf numFmtId="164" fontId="3" fillId="0" borderId="35" xfId="0" applyNumberFormat="1" applyFont="1" applyFill="1" applyBorder="1" applyAlignment="1">
      <alignment horizontal="right" vertical="center" indent="1"/>
    </xf>
    <xf numFmtId="164" fontId="5" fillId="0" borderId="33" xfId="1" applyNumberFormat="1" applyFont="1" applyBorder="1" applyAlignment="1">
      <alignment horizontal="right" vertical="center" indent="1"/>
    </xf>
    <xf numFmtId="164" fontId="5" fillId="0" borderId="47" xfId="1" applyNumberFormat="1" applyFont="1" applyBorder="1" applyAlignment="1">
      <alignment horizontal="right" vertical="center" indent="1"/>
    </xf>
    <xf numFmtId="164" fontId="5" fillId="0" borderId="8" xfId="1" applyNumberFormat="1" applyFont="1" applyFill="1" applyBorder="1" applyAlignment="1">
      <alignment horizontal="right" vertical="center" indent="1"/>
    </xf>
    <xf numFmtId="166" fontId="3" fillId="2" borderId="50" xfId="0" applyNumberFormat="1" applyFont="1" applyFill="1" applyBorder="1" applyAlignment="1">
      <alignment horizontal="right" vertical="center" indent="1"/>
    </xf>
    <xf numFmtId="164" fontId="5" fillId="0" borderId="36" xfId="1" applyNumberFormat="1" applyFont="1" applyBorder="1" applyAlignment="1">
      <alignment horizontal="right" vertical="center" indent="1"/>
    </xf>
    <xf numFmtId="164" fontId="3" fillId="2" borderId="45" xfId="0" applyNumberFormat="1" applyFont="1" applyFill="1" applyBorder="1" applyAlignment="1">
      <alignment horizontal="right" vertical="center" indent="1"/>
    </xf>
    <xf numFmtId="166" fontId="3" fillId="2" borderId="45" xfId="0" applyNumberFormat="1" applyFont="1" applyFill="1" applyBorder="1" applyAlignment="1">
      <alignment horizontal="right" vertical="center" indent="1"/>
    </xf>
    <xf numFmtId="164" fontId="5" fillId="0" borderId="42" xfId="1" applyNumberFormat="1" applyFont="1" applyBorder="1" applyAlignment="1">
      <alignment horizontal="right" vertical="center" indent="1"/>
    </xf>
    <xf numFmtId="164" fontId="3" fillId="0" borderId="38" xfId="0" applyNumberFormat="1" applyFont="1" applyBorder="1" applyAlignment="1">
      <alignment horizontal="right" vertical="center" indent="1"/>
    </xf>
    <xf numFmtId="164" fontId="3" fillId="0" borderId="21" xfId="0" applyNumberFormat="1" applyFont="1" applyBorder="1" applyAlignment="1">
      <alignment horizontal="right" vertical="center" indent="1"/>
    </xf>
    <xf numFmtId="164" fontId="3" fillId="0" borderId="39" xfId="0" applyNumberFormat="1" applyFont="1" applyBorder="1" applyAlignment="1">
      <alignment horizontal="right" vertical="center" indent="1"/>
    </xf>
    <xf numFmtId="166" fontId="3" fillId="2" borderId="39" xfId="0" applyNumberFormat="1" applyFont="1" applyFill="1" applyBorder="1" applyAlignment="1">
      <alignment horizontal="right" vertical="center" indent="1"/>
    </xf>
    <xf numFmtId="164" fontId="3" fillId="0" borderId="52" xfId="0" applyNumberFormat="1" applyFont="1" applyBorder="1" applyAlignment="1">
      <alignment horizontal="right" vertical="center" indent="1"/>
    </xf>
    <xf numFmtId="166" fontId="3" fillId="2" borderId="35" xfId="0" applyNumberFormat="1" applyFont="1" applyFill="1" applyBorder="1" applyAlignment="1">
      <alignment horizontal="right" vertical="center" indent="1"/>
    </xf>
    <xf numFmtId="164" fontId="5" fillId="0" borderId="47" xfId="1" applyNumberFormat="1" applyFont="1" applyFill="1" applyBorder="1" applyAlignment="1">
      <alignment horizontal="right" vertical="center" indent="1"/>
    </xf>
    <xf numFmtId="164" fontId="3" fillId="0" borderId="43" xfId="0" applyNumberFormat="1" applyFont="1" applyFill="1" applyBorder="1" applyAlignment="1">
      <alignment horizontal="right" vertical="center" indent="1"/>
    </xf>
    <xf numFmtId="166" fontId="3" fillId="0" borderId="45" xfId="0" applyNumberFormat="1" applyFont="1" applyFill="1" applyBorder="1" applyAlignment="1">
      <alignment horizontal="right" vertical="center" indent="1"/>
    </xf>
    <xf numFmtId="164" fontId="5" fillId="0" borderId="43" xfId="0" applyNumberFormat="1" applyFont="1" applyFill="1" applyBorder="1" applyAlignment="1">
      <alignment horizontal="right" vertical="center" indent="1"/>
    </xf>
    <xf numFmtId="164" fontId="5" fillId="0" borderId="44" xfId="0" applyNumberFormat="1" applyFont="1" applyFill="1" applyBorder="1" applyAlignment="1">
      <alignment horizontal="right" vertical="center" indent="1"/>
    </xf>
    <xf numFmtId="164" fontId="5" fillId="0" borderId="45" xfId="0" applyNumberFormat="1" applyFont="1" applyFill="1" applyBorder="1" applyAlignment="1">
      <alignment horizontal="right" vertical="center" indent="1"/>
    </xf>
    <xf numFmtId="164" fontId="5" fillId="0" borderId="56" xfId="0" applyNumberFormat="1" applyFont="1" applyFill="1" applyBorder="1" applyAlignment="1">
      <alignment horizontal="right" vertical="center" indent="1"/>
    </xf>
    <xf numFmtId="164" fontId="3" fillId="0" borderId="38" xfId="0" applyNumberFormat="1" applyFont="1" applyFill="1" applyBorder="1" applyAlignment="1">
      <alignment horizontal="right" vertical="center" indent="1"/>
    </xf>
    <xf numFmtId="164" fontId="3" fillId="0" borderId="21" xfId="0" applyNumberFormat="1" applyFont="1" applyFill="1" applyBorder="1" applyAlignment="1">
      <alignment horizontal="right" vertical="center" indent="1"/>
    </xf>
    <xf numFmtId="164" fontId="3" fillId="0" borderId="39" xfId="0" applyNumberFormat="1" applyFont="1" applyFill="1" applyBorder="1" applyAlignment="1">
      <alignment horizontal="right" vertical="center" indent="1"/>
    </xf>
    <xf numFmtId="166" fontId="3" fillId="0" borderId="39" xfId="0" applyNumberFormat="1" applyFont="1" applyFill="1" applyBorder="1" applyAlignment="1">
      <alignment horizontal="right" vertical="center" indent="1"/>
    </xf>
    <xf numFmtId="164" fontId="3" fillId="0" borderId="52" xfId="0" applyNumberFormat="1" applyFont="1" applyFill="1" applyBorder="1" applyAlignment="1">
      <alignment horizontal="right" vertical="center" indent="1"/>
    </xf>
    <xf numFmtId="164" fontId="3" fillId="0" borderId="62" xfId="0" applyNumberFormat="1" applyFont="1" applyBorder="1" applyAlignment="1">
      <alignment horizontal="right" vertical="center" indent="1"/>
    </xf>
    <xf numFmtId="0" fontId="3" fillId="0" borderId="19" xfId="0" applyFont="1" applyBorder="1" applyAlignment="1">
      <alignment horizontal="right" vertical="center" indent="1"/>
    </xf>
    <xf numFmtId="164" fontId="3" fillId="0" borderId="64" xfId="0" applyNumberFormat="1" applyFont="1" applyBorder="1" applyAlignment="1">
      <alignment horizontal="right" vertical="center" indent="1"/>
    </xf>
    <xf numFmtId="164" fontId="3" fillId="0" borderId="66" xfId="0" applyNumberFormat="1" applyFont="1" applyBorder="1" applyAlignment="1">
      <alignment horizontal="right" vertical="center" indent="1"/>
    </xf>
    <xf numFmtId="164" fontId="5" fillId="0" borderId="19" xfId="0" applyNumberFormat="1" applyFont="1" applyFill="1" applyBorder="1" applyAlignment="1">
      <alignment horizontal="right" indent="1"/>
    </xf>
    <xf numFmtId="0" fontId="3" fillId="0" borderId="44" xfId="0" applyFont="1" applyBorder="1" applyAlignment="1">
      <alignment horizontal="right" vertical="center" indent="1"/>
    </xf>
    <xf numFmtId="165" fontId="3" fillId="0" borderId="44" xfId="0" applyNumberFormat="1" applyFont="1" applyBorder="1" applyAlignment="1">
      <alignment horizontal="right" vertical="center" indent="1"/>
    </xf>
    <xf numFmtId="0" fontId="3" fillId="0" borderId="62" xfId="0" applyFont="1" applyBorder="1" applyAlignment="1">
      <alignment horizontal="right" vertical="center" indent="1"/>
    </xf>
    <xf numFmtId="165" fontId="3" fillId="0" borderId="19" xfId="0" applyNumberFormat="1" applyFont="1" applyBorder="1" applyAlignment="1">
      <alignment horizontal="right" vertical="center" indent="1"/>
    </xf>
    <xf numFmtId="165" fontId="3" fillId="0" borderId="64" xfId="0" applyNumberFormat="1" applyFont="1" applyBorder="1" applyAlignment="1">
      <alignment horizontal="right" vertical="center" indent="1"/>
    </xf>
    <xf numFmtId="0" fontId="3" fillId="0" borderId="49" xfId="0" applyFont="1" applyBorder="1" applyAlignment="1">
      <alignment horizontal="right" vertical="center" indent="1"/>
    </xf>
    <xf numFmtId="165" fontId="3" fillId="0" borderId="49" xfId="0" applyNumberFormat="1" applyFont="1" applyBorder="1" applyAlignment="1">
      <alignment horizontal="right" vertical="center" indent="1"/>
    </xf>
    <xf numFmtId="164" fontId="3" fillId="0" borderId="69" xfId="0" applyNumberFormat="1" applyFont="1" applyBorder="1" applyAlignment="1">
      <alignment horizontal="right" vertical="center" indent="1"/>
    </xf>
    <xf numFmtId="164" fontId="3" fillId="0" borderId="64" xfId="0" applyNumberFormat="1" applyFont="1" applyFill="1" applyBorder="1" applyAlignment="1">
      <alignment horizontal="right" vertical="center" indent="1"/>
    </xf>
    <xf numFmtId="164" fontId="3" fillId="0" borderId="66" xfId="0" applyNumberFormat="1" applyFont="1" applyFill="1" applyBorder="1" applyAlignment="1">
      <alignment horizontal="right" vertical="center" indent="1"/>
    </xf>
    <xf numFmtId="164" fontId="3" fillId="0" borderId="62" xfId="0" applyNumberFormat="1" applyFont="1" applyFill="1" applyBorder="1" applyAlignment="1">
      <alignment horizontal="right" vertical="center" indent="1"/>
    </xf>
    <xf numFmtId="164" fontId="3" fillId="0" borderId="24" xfId="0" applyNumberFormat="1" applyFont="1" applyFill="1" applyBorder="1" applyAlignment="1">
      <alignment horizontal="right" vertical="center" indent="1"/>
    </xf>
    <xf numFmtId="0" fontId="4" fillId="0" borderId="61" xfId="0" applyFont="1" applyBorder="1" applyAlignment="1">
      <alignment horizontal="right" vertical="center" indent="1"/>
    </xf>
    <xf numFmtId="0" fontId="4" fillId="0" borderId="63" xfId="0" applyFont="1" applyBorder="1" applyAlignment="1">
      <alignment horizontal="right" vertical="center" indent="1"/>
    </xf>
    <xf numFmtId="0" fontId="4" fillId="0" borderId="65" xfId="0" applyFont="1" applyBorder="1" applyAlignment="1">
      <alignment horizontal="right" vertical="center" indent="1"/>
    </xf>
    <xf numFmtId="0" fontId="4" fillId="0" borderId="68" xfId="0" applyFont="1" applyBorder="1" applyAlignment="1">
      <alignment horizontal="right" vertical="center" indent="1"/>
    </xf>
    <xf numFmtId="0" fontId="4" fillId="0" borderId="63" xfId="0" applyFont="1" applyFill="1" applyBorder="1" applyAlignment="1">
      <alignment horizontal="right" vertical="center" indent="1"/>
    </xf>
    <xf numFmtId="0" fontId="4" fillId="0" borderId="65" xfId="0" applyFont="1" applyFill="1" applyBorder="1" applyAlignment="1">
      <alignment horizontal="right" vertical="center" indent="1"/>
    </xf>
    <xf numFmtId="0" fontId="4" fillId="0" borderId="61" xfId="0" applyFont="1" applyFill="1" applyBorder="1" applyAlignment="1">
      <alignment horizontal="right" vertical="center" indent="1"/>
    </xf>
    <xf numFmtId="0" fontId="6" fillId="3" borderId="23" xfId="0" applyFont="1" applyFill="1" applyBorder="1" applyAlignment="1">
      <alignment horizontal="right" vertical="center" indent="1"/>
    </xf>
    <xf numFmtId="164" fontId="5" fillId="3" borderId="24" xfId="0" applyNumberFormat="1" applyFont="1" applyFill="1" applyBorder="1" applyAlignment="1">
      <alignment horizontal="right" vertical="center" indent="1"/>
    </xf>
    <xf numFmtId="0" fontId="4" fillId="0" borderId="32" xfId="0" applyFont="1" applyBorder="1" applyAlignment="1">
      <alignment horizontal="right" wrapText="1" indent="1"/>
    </xf>
    <xf numFmtId="164" fontId="3" fillId="0" borderId="43" xfId="0" applyNumberFormat="1" applyFont="1" applyBorder="1" applyAlignment="1">
      <alignment horizontal="left" vertical="center" indent="1"/>
    </xf>
    <xf numFmtId="164" fontId="3" fillId="0" borderId="44" xfId="0" applyNumberFormat="1" applyFont="1" applyBorder="1" applyAlignment="1">
      <alignment horizontal="left" vertical="center" indent="1"/>
    </xf>
    <xf numFmtId="164" fontId="3" fillId="0" borderId="45" xfId="0" applyNumberFormat="1" applyFont="1" applyBorder="1" applyAlignment="1">
      <alignment horizontal="left" vertical="center" indent="1"/>
    </xf>
    <xf numFmtId="164" fontId="3" fillId="4" borderId="42" xfId="0" applyNumberFormat="1" applyFont="1" applyFill="1" applyBorder="1" applyAlignment="1">
      <alignment horizontal="left" vertical="center" indent="1"/>
    </xf>
    <xf numFmtId="166" fontId="3" fillId="0" borderId="45" xfId="2" applyNumberFormat="1" applyFont="1" applyBorder="1" applyAlignment="1">
      <alignment horizontal="left" vertical="center" indent="1"/>
    </xf>
    <xf numFmtId="164" fontId="3" fillId="0" borderId="56" xfId="0" applyNumberFormat="1" applyFont="1" applyBorder="1" applyAlignment="1">
      <alignment horizontal="left" vertical="center" indent="1"/>
    </xf>
    <xf numFmtId="164" fontId="3" fillId="0" borderId="34" xfId="0" applyNumberFormat="1" applyFont="1" applyBorder="1" applyAlignment="1">
      <alignment horizontal="left" vertical="center" indent="1"/>
    </xf>
    <xf numFmtId="164" fontId="3" fillId="0" borderId="19" xfId="0" applyNumberFormat="1" applyFont="1" applyBorder="1" applyAlignment="1">
      <alignment horizontal="left" vertical="center" indent="1"/>
    </xf>
    <xf numFmtId="164" fontId="3" fillId="0" borderId="35" xfId="0" applyNumberFormat="1" applyFont="1" applyBorder="1" applyAlignment="1">
      <alignment horizontal="left" vertical="center" indent="1"/>
    </xf>
    <xf numFmtId="164" fontId="3" fillId="4" borderId="33" xfId="0" applyNumberFormat="1" applyFont="1" applyFill="1" applyBorder="1" applyAlignment="1">
      <alignment horizontal="left" vertical="center" indent="1"/>
    </xf>
    <xf numFmtId="166" fontId="3" fillId="0" borderId="35" xfId="2" applyNumberFormat="1" applyFont="1" applyBorder="1" applyAlignment="1">
      <alignment horizontal="left" vertical="center" indent="1"/>
    </xf>
    <xf numFmtId="164" fontId="3" fillId="0" borderId="58" xfId="0" applyNumberFormat="1" applyFont="1" applyBorder="1" applyAlignment="1">
      <alignment horizontal="left" vertical="center" indent="1"/>
    </xf>
    <xf numFmtId="164" fontId="3" fillId="0" borderId="48" xfId="0" applyNumberFormat="1" applyFont="1" applyBorder="1" applyAlignment="1">
      <alignment horizontal="left" vertical="center" indent="1"/>
    </xf>
    <xf numFmtId="164" fontId="3" fillId="0" borderId="49" xfId="0" applyNumberFormat="1" applyFont="1" applyBorder="1" applyAlignment="1">
      <alignment horizontal="left" vertical="center" indent="1"/>
    </xf>
    <xf numFmtId="164" fontId="3" fillId="0" borderId="50" xfId="0" applyNumberFormat="1" applyFont="1" applyBorder="1" applyAlignment="1">
      <alignment horizontal="left" vertical="center" indent="1"/>
    </xf>
    <xf numFmtId="164" fontId="3" fillId="4" borderId="47" xfId="0" applyNumberFormat="1" applyFont="1" applyFill="1" applyBorder="1" applyAlignment="1">
      <alignment horizontal="left" vertical="center" indent="1"/>
    </xf>
    <xf numFmtId="166" fontId="3" fillId="0" borderId="50" xfId="2" applyNumberFormat="1" applyFont="1" applyBorder="1" applyAlignment="1">
      <alignment horizontal="left" vertical="center" indent="1"/>
    </xf>
    <xf numFmtId="164" fontId="3" fillId="0" borderId="60" xfId="0" applyNumberFormat="1" applyFont="1" applyBorder="1" applyAlignment="1">
      <alignment horizontal="left" vertical="center" indent="1"/>
    </xf>
    <xf numFmtId="164" fontId="3" fillId="6" borderId="33" xfId="0" applyNumberFormat="1" applyFont="1" applyFill="1" applyBorder="1" applyAlignment="1">
      <alignment horizontal="left" vertical="center" indent="1"/>
    </xf>
    <xf numFmtId="164" fontId="3" fillId="0" borderId="34" xfId="0" applyNumberFormat="1" applyFont="1" applyFill="1" applyBorder="1" applyAlignment="1">
      <alignment horizontal="left" vertical="center" indent="1"/>
    </xf>
    <xf numFmtId="166" fontId="3" fillId="0" borderId="35" xfId="2" applyNumberFormat="1" applyFont="1" applyFill="1" applyBorder="1" applyAlignment="1">
      <alignment horizontal="left" vertical="center" indent="1"/>
    </xf>
    <xf numFmtId="164" fontId="3" fillId="0" borderId="38" xfId="0" applyNumberFormat="1" applyFont="1" applyFill="1" applyBorder="1" applyAlignment="1">
      <alignment horizontal="left" vertical="center" indent="1"/>
    </xf>
    <xf numFmtId="164" fontId="3" fillId="0" borderId="21" xfId="0" applyNumberFormat="1" applyFont="1" applyFill="1" applyBorder="1" applyAlignment="1">
      <alignment horizontal="left" vertical="center" indent="1"/>
    </xf>
    <xf numFmtId="164" fontId="3" fillId="0" borderId="39" xfId="0" applyNumberFormat="1" applyFont="1" applyFill="1" applyBorder="1" applyAlignment="1">
      <alignment horizontal="left" vertical="center" indent="1"/>
    </xf>
    <xf numFmtId="164" fontId="3" fillId="4" borderId="37" xfId="0" applyNumberFormat="1" applyFont="1" applyFill="1" applyBorder="1" applyAlignment="1">
      <alignment horizontal="left" vertical="center" indent="1"/>
    </xf>
    <xf numFmtId="166" fontId="3" fillId="0" borderId="39" xfId="2" applyNumberFormat="1" applyFont="1" applyFill="1" applyBorder="1" applyAlignment="1">
      <alignment horizontal="left" vertical="center" indent="1"/>
    </xf>
    <xf numFmtId="164" fontId="3" fillId="0" borderId="52" xfId="0" applyNumberFormat="1" applyFont="1" applyFill="1" applyBorder="1" applyAlignment="1">
      <alignment horizontal="left" vertical="center" indent="1"/>
    </xf>
    <xf numFmtId="164" fontId="3" fillId="0" borderId="19" xfId="0" applyNumberFormat="1" applyFont="1" applyFill="1" applyBorder="1" applyAlignment="1">
      <alignment horizontal="left" vertical="center" indent="1"/>
    </xf>
    <xf numFmtId="164" fontId="3" fillId="0" borderId="35" xfId="0" applyNumberFormat="1" applyFont="1" applyFill="1" applyBorder="1" applyAlignment="1">
      <alignment horizontal="left" vertical="center" indent="1"/>
    </xf>
    <xf numFmtId="164" fontId="3" fillId="0" borderId="58" xfId="0" applyNumberFormat="1" applyFont="1" applyFill="1" applyBorder="1" applyAlignment="1">
      <alignment horizontal="left" vertical="center" indent="1"/>
    </xf>
    <xf numFmtId="164" fontId="3" fillId="0" borderId="48" xfId="0" applyNumberFormat="1" applyFont="1" applyFill="1" applyBorder="1" applyAlignment="1">
      <alignment horizontal="left" vertical="center" indent="1"/>
    </xf>
    <xf numFmtId="164" fontId="3" fillId="0" borderId="49" xfId="0" applyNumberFormat="1" applyFont="1" applyFill="1" applyBorder="1" applyAlignment="1">
      <alignment horizontal="left" vertical="center" indent="1"/>
    </xf>
    <xf numFmtId="164" fontId="3" fillId="0" borderId="50" xfId="0" applyNumberFormat="1" applyFont="1" applyFill="1" applyBorder="1" applyAlignment="1">
      <alignment horizontal="left" vertical="center" indent="1"/>
    </xf>
    <xf numFmtId="166" fontId="3" fillId="0" borderId="50" xfId="2" applyNumberFormat="1" applyFont="1" applyFill="1" applyBorder="1" applyAlignment="1">
      <alignment horizontal="left" vertical="center" indent="1"/>
    </xf>
    <xf numFmtId="164" fontId="3" fillId="0" borderId="60" xfId="0" applyNumberFormat="1" applyFont="1" applyFill="1" applyBorder="1" applyAlignment="1">
      <alignment horizontal="left" vertical="center" indent="1"/>
    </xf>
    <xf numFmtId="164" fontId="3" fillId="0" borderId="43" xfId="0" applyNumberFormat="1" applyFont="1" applyFill="1" applyBorder="1" applyAlignment="1">
      <alignment horizontal="left" vertical="center" indent="1"/>
    </xf>
    <xf numFmtId="164" fontId="3" fillId="0" borderId="44" xfId="0" applyNumberFormat="1" applyFont="1" applyFill="1" applyBorder="1" applyAlignment="1">
      <alignment horizontal="left" vertical="center" indent="1"/>
    </xf>
    <xf numFmtId="164" fontId="3" fillId="0" borderId="45" xfId="0" applyNumberFormat="1" applyFont="1" applyFill="1" applyBorder="1" applyAlignment="1">
      <alignment horizontal="left" vertical="center" indent="1"/>
    </xf>
    <xf numFmtId="166" fontId="3" fillId="0" borderId="45" xfId="2" applyNumberFormat="1" applyFont="1" applyFill="1" applyBorder="1" applyAlignment="1">
      <alignment horizontal="left" vertical="center" indent="1"/>
    </xf>
    <xf numFmtId="164" fontId="5" fillId="0" borderId="8" xfId="0" applyNumberFormat="1" applyFont="1" applyFill="1" applyBorder="1" applyAlignment="1">
      <alignment horizontal="right" indent="1"/>
    </xf>
    <xf numFmtId="166" fontId="5" fillId="3" borderId="9" xfId="0" applyNumberFormat="1" applyFont="1" applyFill="1" applyBorder="1" applyAlignment="1">
      <alignment horizontal="right" indent="1"/>
    </xf>
    <xf numFmtId="164" fontId="3" fillId="0" borderId="33" xfId="0" applyNumberFormat="1" applyFont="1" applyFill="1" applyBorder="1" applyAlignment="1">
      <alignment horizontal="right" indent="1"/>
    </xf>
    <xf numFmtId="164" fontId="5" fillId="0" borderId="33" xfId="0" applyNumberFormat="1" applyFont="1" applyFill="1" applyBorder="1" applyAlignment="1">
      <alignment horizontal="right" indent="1"/>
    </xf>
    <xf numFmtId="166" fontId="5" fillId="3" borderId="58" xfId="0" applyNumberFormat="1" applyFont="1" applyFill="1" applyBorder="1" applyAlignment="1">
      <alignment horizontal="right" indent="1"/>
    </xf>
    <xf numFmtId="164" fontId="5" fillId="0" borderId="57" xfId="0" applyNumberFormat="1" applyFont="1" applyFill="1" applyBorder="1" applyAlignment="1">
      <alignment horizontal="right" indent="1"/>
    </xf>
    <xf numFmtId="164" fontId="3" fillId="0" borderId="36" xfId="0" applyNumberFormat="1" applyFont="1" applyFill="1" applyBorder="1" applyAlignment="1">
      <alignment horizontal="right" indent="1"/>
    </xf>
    <xf numFmtId="166" fontId="5" fillId="3" borderId="70" xfId="0" applyNumberFormat="1" applyFont="1" applyFill="1" applyBorder="1" applyAlignment="1">
      <alignment horizontal="right" indent="1"/>
    </xf>
    <xf numFmtId="164" fontId="3" fillId="0" borderId="42" xfId="0" applyNumberFormat="1" applyFont="1" applyFill="1" applyBorder="1" applyAlignment="1">
      <alignment horizontal="right" indent="1"/>
    </xf>
    <xf numFmtId="166" fontId="5" fillId="3" borderId="56" xfId="0" applyNumberFormat="1" applyFont="1" applyFill="1" applyBorder="1" applyAlignment="1">
      <alignment horizontal="right" indent="1"/>
    </xf>
    <xf numFmtId="165" fontId="5" fillId="0" borderId="59" xfId="0" applyNumberFormat="1" applyFont="1" applyFill="1" applyBorder="1" applyAlignment="1">
      <alignment horizontal="right" indent="1"/>
    </xf>
    <xf numFmtId="165" fontId="5" fillId="0" borderId="50" xfId="0" applyNumberFormat="1" applyFont="1" applyFill="1" applyBorder="1" applyAlignment="1">
      <alignment horizontal="right" indent="1"/>
    </xf>
    <xf numFmtId="164" fontId="5" fillId="0" borderId="47" xfId="0" applyNumberFormat="1" applyFont="1" applyBorder="1" applyAlignment="1">
      <alignment horizontal="right" indent="1"/>
    </xf>
    <xf numFmtId="166" fontId="5" fillId="3" borderId="60" xfId="0" applyNumberFormat="1" applyFont="1" applyFill="1" applyBorder="1" applyAlignment="1">
      <alignment horizontal="right" indent="1"/>
    </xf>
    <xf numFmtId="164" fontId="5" fillId="0" borderId="59" xfId="0" applyNumberFormat="1" applyFont="1" applyFill="1" applyBorder="1" applyAlignment="1">
      <alignment horizontal="right" indent="1"/>
    </xf>
    <xf numFmtId="164" fontId="5" fillId="0" borderId="47" xfId="0" applyNumberFormat="1" applyFont="1" applyFill="1" applyBorder="1" applyAlignment="1">
      <alignment horizontal="right" indent="1"/>
    </xf>
    <xf numFmtId="3" fontId="5" fillId="3" borderId="60" xfId="0" applyNumberFormat="1" applyFont="1" applyFill="1" applyBorder="1" applyAlignment="1">
      <alignment horizontal="right" indent="1"/>
    </xf>
    <xf numFmtId="165" fontId="5" fillId="0" borderId="55" xfId="0" applyNumberFormat="1" applyFont="1" applyFill="1" applyBorder="1" applyAlignment="1">
      <alignment horizontal="right" indent="1"/>
    </xf>
    <xf numFmtId="165" fontId="5" fillId="0" borderId="45" xfId="0" applyNumberFormat="1" applyFont="1" applyFill="1" applyBorder="1" applyAlignment="1">
      <alignment horizontal="right" indent="1"/>
    </xf>
    <xf numFmtId="164" fontId="5" fillId="0" borderId="42" xfId="0" applyNumberFormat="1" applyFont="1" applyFill="1" applyBorder="1" applyAlignment="1">
      <alignment horizontal="right" indent="1"/>
    </xf>
    <xf numFmtId="164" fontId="5" fillId="0" borderId="55" xfId="0" applyNumberFormat="1" applyFont="1" applyFill="1" applyBorder="1" applyAlignment="1">
      <alignment horizontal="right" indent="1"/>
    </xf>
    <xf numFmtId="3" fontId="5" fillId="3" borderId="56" xfId="0" applyNumberFormat="1" applyFont="1" applyFill="1" applyBorder="1" applyAlignment="1">
      <alignment horizontal="right" indent="1"/>
    </xf>
    <xf numFmtId="165" fontId="5" fillId="0" borderId="57" xfId="0" applyNumberFormat="1" applyFont="1" applyFill="1" applyBorder="1" applyAlignment="1">
      <alignment horizontal="right" indent="1"/>
    </xf>
    <xf numFmtId="165" fontId="5" fillId="0" borderId="35" xfId="0" applyNumberFormat="1" applyFont="1" applyFill="1" applyBorder="1" applyAlignment="1">
      <alignment horizontal="right" indent="1"/>
    </xf>
    <xf numFmtId="164" fontId="5" fillId="0" borderId="33" xfId="0" applyNumberFormat="1" applyFont="1" applyBorder="1" applyAlignment="1">
      <alignment horizontal="right" indent="1"/>
    </xf>
    <xf numFmtId="3" fontId="5" fillId="3" borderId="58" xfId="0" applyNumberFormat="1" applyFont="1" applyFill="1" applyBorder="1" applyAlignment="1">
      <alignment horizontal="right" indent="1"/>
    </xf>
    <xf numFmtId="165" fontId="5" fillId="0" borderId="7" xfId="0" applyNumberFormat="1" applyFont="1" applyFill="1" applyBorder="1" applyAlignment="1">
      <alignment horizontal="right" indent="1"/>
    </xf>
    <xf numFmtId="165" fontId="5" fillId="0" borderId="17" xfId="0" applyNumberFormat="1" applyFont="1" applyFill="1" applyBorder="1" applyAlignment="1">
      <alignment horizontal="right" indent="1"/>
    </xf>
    <xf numFmtId="164" fontId="5" fillId="0" borderId="7" xfId="0" applyNumberFormat="1" applyFont="1" applyFill="1" applyBorder="1" applyAlignment="1">
      <alignment horizontal="right" indent="1"/>
    </xf>
    <xf numFmtId="3" fontId="5" fillId="0" borderId="8" xfId="0" applyNumberFormat="1" applyFont="1" applyBorder="1" applyAlignment="1">
      <alignment horizontal="right" indent="1"/>
    </xf>
    <xf numFmtId="3" fontId="5" fillId="3" borderId="9" xfId="0" applyNumberFormat="1" applyFont="1" applyFill="1" applyBorder="1" applyAlignment="1">
      <alignment horizontal="right" indent="1"/>
    </xf>
    <xf numFmtId="164" fontId="3" fillId="0" borderId="47" xfId="0" applyNumberFormat="1" applyFont="1" applyFill="1" applyBorder="1" applyAlignment="1">
      <alignment horizontal="right" indent="1"/>
    </xf>
    <xf numFmtId="3" fontId="5" fillId="0" borderId="47" xfId="0" applyNumberFormat="1" applyFont="1" applyBorder="1" applyAlignment="1">
      <alignment horizontal="right" indent="1"/>
    </xf>
    <xf numFmtId="164" fontId="3" fillId="0" borderId="38" xfId="0" applyNumberFormat="1" applyFont="1" applyBorder="1" applyAlignment="1">
      <alignment horizontal="right" indent="1"/>
    </xf>
    <xf numFmtId="164" fontId="5" fillId="0" borderId="19" xfId="0" applyNumberFormat="1" applyFont="1" applyBorder="1" applyAlignment="1">
      <alignment horizontal="right" indent="1"/>
    </xf>
    <xf numFmtId="164" fontId="5" fillId="0" borderId="39" xfId="1" applyNumberFormat="1" applyFont="1" applyBorder="1" applyAlignment="1">
      <alignment horizontal="right" indent="1"/>
    </xf>
    <xf numFmtId="164" fontId="5" fillId="4" borderId="38" xfId="1" applyNumberFormat="1" applyFont="1" applyFill="1" applyBorder="1" applyAlignment="1">
      <alignment horizontal="right" indent="1"/>
    </xf>
    <xf numFmtId="164" fontId="5" fillId="0" borderId="19" xfId="1" applyNumberFormat="1" applyFont="1" applyFill="1" applyBorder="1" applyAlignment="1">
      <alignment horizontal="right" indent="1"/>
    </xf>
    <xf numFmtId="164" fontId="5" fillId="0" borderId="35" xfId="1" applyNumberFormat="1" applyFont="1" applyFill="1" applyBorder="1" applyAlignment="1">
      <alignment horizontal="right" indent="1"/>
    </xf>
    <xf numFmtId="164" fontId="5" fillId="0" borderId="38" xfId="1" applyNumberFormat="1" applyFont="1" applyBorder="1" applyAlignment="1">
      <alignment horizontal="right" indent="1"/>
    </xf>
    <xf numFmtId="166" fontId="5" fillId="0" borderId="39" xfId="2" applyNumberFormat="1" applyFont="1" applyBorder="1" applyAlignment="1">
      <alignment horizontal="right" indent="1"/>
    </xf>
    <xf numFmtId="164" fontId="5" fillId="0" borderId="33" xfId="1" applyNumberFormat="1" applyFont="1" applyFill="1" applyBorder="1" applyAlignment="1">
      <alignment horizontal="right" indent="1"/>
    </xf>
    <xf numFmtId="164" fontId="3" fillId="0" borderId="34" xfId="0" applyNumberFormat="1" applyFont="1" applyBorder="1" applyAlignment="1">
      <alignment horizontal="right" indent="1"/>
    </xf>
    <xf numFmtId="164" fontId="5" fillId="0" borderId="35" xfId="1" applyNumberFormat="1" applyFont="1" applyBorder="1" applyAlignment="1">
      <alignment horizontal="right" indent="1"/>
    </xf>
    <xf numFmtId="164" fontId="5" fillId="5" borderId="34" xfId="1" applyNumberFormat="1" applyFont="1" applyFill="1" applyBorder="1" applyAlignment="1">
      <alignment horizontal="right" indent="1"/>
    </xf>
    <xf numFmtId="164" fontId="5" fillId="0" borderId="34" xfId="1" applyNumberFormat="1" applyFont="1" applyBorder="1" applyAlignment="1">
      <alignment horizontal="right" indent="1"/>
    </xf>
    <xf numFmtId="166" fontId="5" fillId="0" borderId="35" xfId="2" applyNumberFormat="1" applyFont="1" applyBorder="1" applyAlignment="1">
      <alignment horizontal="right" indent="1"/>
    </xf>
    <xf numFmtId="164" fontId="5" fillId="4" borderId="34" xfId="1" applyNumberFormat="1" applyFont="1" applyFill="1" applyBorder="1" applyAlignment="1">
      <alignment horizontal="right" indent="1"/>
    </xf>
    <xf numFmtId="164" fontId="3" fillId="0" borderId="40" xfId="0" applyNumberFormat="1" applyFont="1" applyBorder="1" applyAlignment="1">
      <alignment horizontal="right" indent="1"/>
    </xf>
    <xf numFmtId="164" fontId="5" fillId="0" borderId="22" xfId="1" applyNumberFormat="1" applyFont="1" applyFill="1" applyBorder="1" applyAlignment="1">
      <alignment horizontal="right" indent="1"/>
    </xf>
    <xf numFmtId="164" fontId="5" fillId="0" borderId="41" xfId="1" applyNumberFormat="1" applyFont="1" applyBorder="1" applyAlignment="1">
      <alignment horizontal="right" indent="1"/>
    </xf>
    <xf numFmtId="164" fontId="5" fillId="4" borderId="40" xfId="1" applyNumberFormat="1" applyFont="1" applyFill="1" applyBorder="1" applyAlignment="1">
      <alignment horizontal="right" indent="1"/>
    </xf>
    <xf numFmtId="164" fontId="5" fillId="0" borderId="41" xfId="1" applyNumberFormat="1" applyFont="1" applyFill="1" applyBorder="1" applyAlignment="1">
      <alignment horizontal="right" indent="1"/>
    </xf>
    <xf numFmtId="164" fontId="5" fillId="0" borderId="40" xfId="1" applyNumberFormat="1" applyFont="1" applyBorder="1" applyAlignment="1">
      <alignment horizontal="right" indent="1"/>
    </xf>
    <xf numFmtId="166" fontId="5" fillId="0" borderId="41" xfId="2" applyNumberFormat="1" applyFont="1" applyBorder="1" applyAlignment="1">
      <alignment horizontal="right" indent="1"/>
    </xf>
    <xf numFmtId="164" fontId="5" fillId="0" borderId="36" xfId="1" applyNumberFormat="1" applyFont="1" applyFill="1" applyBorder="1" applyAlignment="1">
      <alignment horizontal="right" indent="1"/>
    </xf>
    <xf numFmtId="164" fontId="3" fillId="0" borderId="43" xfId="0" applyNumberFormat="1" applyFont="1" applyBorder="1" applyAlignment="1">
      <alignment horizontal="right" indent="1"/>
    </xf>
    <xf numFmtId="164" fontId="5" fillId="0" borderId="44" xfId="1" applyNumberFormat="1" applyFont="1" applyFill="1" applyBorder="1" applyAlignment="1">
      <alignment horizontal="right" indent="1"/>
    </xf>
    <xf numFmtId="164" fontId="5" fillId="0" borderId="45" xfId="1" applyNumberFormat="1" applyFont="1" applyBorder="1" applyAlignment="1">
      <alignment horizontal="right" indent="1"/>
    </xf>
    <xf numFmtId="164" fontId="5" fillId="5" borderId="43" xfId="1" applyNumberFormat="1" applyFont="1" applyFill="1" applyBorder="1" applyAlignment="1">
      <alignment horizontal="right" indent="1"/>
    </xf>
    <xf numFmtId="164" fontId="5" fillId="0" borderId="45" xfId="1" applyNumberFormat="1" applyFont="1" applyFill="1" applyBorder="1" applyAlignment="1">
      <alignment horizontal="right" indent="1"/>
    </xf>
    <xf numFmtId="164" fontId="5" fillId="0" borderId="43" xfId="1" applyNumberFormat="1" applyFont="1" applyBorder="1" applyAlignment="1">
      <alignment horizontal="right" indent="1"/>
    </xf>
    <xf numFmtId="166" fontId="5" fillId="0" borderId="45" xfId="2" applyNumberFormat="1" applyFont="1" applyBorder="1" applyAlignment="1">
      <alignment horizontal="right" indent="1"/>
    </xf>
    <xf numFmtId="164" fontId="5" fillId="0" borderId="42" xfId="1" applyNumberFormat="1" applyFont="1" applyFill="1" applyBorder="1" applyAlignment="1">
      <alignment horizontal="right" indent="1"/>
    </xf>
    <xf numFmtId="164" fontId="3" fillId="0" borderId="34" xfId="0" applyNumberFormat="1" applyFont="1" applyFill="1" applyBorder="1" applyAlignment="1">
      <alignment horizontal="right" indent="1"/>
    </xf>
    <xf numFmtId="164" fontId="3" fillId="0" borderId="40" xfId="0" applyNumberFormat="1" applyFont="1" applyFill="1" applyBorder="1" applyAlignment="1">
      <alignment horizontal="right" indent="1"/>
    </xf>
    <xf numFmtId="164" fontId="5" fillId="0" borderId="22" xfId="0" applyNumberFormat="1" applyFont="1" applyFill="1" applyBorder="1" applyAlignment="1">
      <alignment horizontal="right" indent="1"/>
    </xf>
    <xf numFmtId="164" fontId="3" fillId="0" borderId="43" xfId="0" applyNumberFormat="1" applyFont="1" applyFill="1" applyBorder="1" applyAlignment="1">
      <alignment horizontal="right" indent="1"/>
    </xf>
    <xf numFmtId="164" fontId="5" fillId="0" borderId="44" xfId="0" applyNumberFormat="1" applyFont="1" applyFill="1" applyBorder="1" applyAlignment="1">
      <alignment horizontal="right" indent="1"/>
    </xf>
    <xf numFmtId="164" fontId="5" fillId="4" borderId="43" xfId="1" applyNumberFormat="1" applyFont="1" applyFill="1" applyBorder="1" applyAlignment="1">
      <alignment horizontal="right" indent="1"/>
    </xf>
    <xf numFmtId="164" fontId="5" fillId="0" borderId="33" xfId="1" applyNumberFormat="1" applyFont="1" applyBorder="1" applyAlignment="1">
      <alignment horizontal="right" indent="1"/>
    </xf>
    <xf numFmtId="164" fontId="5" fillId="0" borderId="34" xfId="0" applyNumberFormat="1" applyFont="1" applyFill="1" applyBorder="1" applyAlignment="1">
      <alignment horizontal="right" indent="1"/>
    </xf>
    <xf numFmtId="164" fontId="5" fillId="0" borderId="40" xfId="0" applyNumberFormat="1" applyFont="1" applyFill="1" applyBorder="1" applyAlignment="1">
      <alignment horizontal="right" indent="1"/>
    </xf>
    <xf numFmtId="164" fontId="5" fillId="0" borderId="47" xfId="1" applyNumberFormat="1" applyFont="1" applyBorder="1" applyAlignment="1">
      <alignment horizontal="right" indent="1"/>
    </xf>
    <xf numFmtId="164" fontId="5" fillId="0" borderId="8" xfId="1" applyNumberFormat="1" applyFont="1" applyFill="1" applyBorder="1" applyAlignment="1">
      <alignment horizontal="right" indent="1"/>
    </xf>
    <xf numFmtId="164" fontId="5" fillId="0" borderId="36" xfId="1" applyNumberFormat="1" applyFont="1" applyBorder="1" applyAlignment="1">
      <alignment horizontal="right" indent="1"/>
    </xf>
    <xf numFmtId="164" fontId="5" fillId="0" borderId="43" xfId="0" applyNumberFormat="1" applyFont="1" applyBorder="1" applyAlignment="1">
      <alignment horizontal="right" indent="1"/>
    </xf>
    <xf numFmtId="164" fontId="5" fillId="0" borderId="44" xfId="0" applyNumberFormat="1" applyFont="1" applyBorder="1" applyAlignment="1">
      <alignment horizontal="right" indent="1"/>
    </xf>
    <xf numFmtId="164" fontId="5" fillId="0" borderId="44" xfId="1" applyNumberFormat="1" applyFont="1" applyBorder="1" applyAlignment="1">
      <alignment horizontal="right" indent="1"/>
    </xf>
    <xf numFmtId="164" fontId="5" fillId="0" borderId="42" xfId="1" applyNumberFormat="1" applyFont="1" applyBorder="1" applyAlignment="1">
      <alignment horizontal="right" indent="1"/>
    </xf>
    <xf numFmtId="164" fontId="5" fillId="0" borderId="34" xfId="0" applyNumberFormat="1" applyFont="1" applyBorder="1" applyAlignment="1">
      <alignment horizontal="right" indent="1"/>
    </xf>
    <xf numFmtId="164" fontId="5" fillId="0" borderId="19" xfId="1" applyNumberFormat="1" applyFont="1" applyBorder="1" applyAlignment="1">
      <alignment horizontal="right" indent="1"/>
    </xf>
    <xf numFmtId="164" fontId="5" fillId="0" borderId="22" xfId="0" applyNumberFormat="1" applyFont="1" applyBorder="1" applyAlignment="1">
      <alignment horizontal="right" indent="1"/>
    </xf>
    <xf numFmtId="164" fontId="5" fillId="0" borderId="22" xfId="1" applyNumberFormat="1" applyFont="1" applyBorder="1" applyAlignment="1">
      <alignment horizontal="right" indent="1"/>
    </xf>
    <xf numFmtId="164" fontId="5" fillId="0" borderId="34" xfId="1" applyNumberFormat="1" applyFont="1" applyFill="1" applyBorder="1" applyAlignment="1">
      <alignment horizontal="right" indent="1"/>
    </xf>
    <xf numFmtId="166" fontId="5" fillId="0" borderId="35" xfId="2" applyNumberFormat="1" applyFont="1" applyFill="1" applyBorder="1" applyAlignment="1">
      <alignment horizontal="right" indent="1"/>
    </xf>
    <xf numFmtId="164" fontId="3" fillId="0" borderId="48" xfId="0" applyNumberFormat="1" applyFont="1" applyFill="1" applyBorder="1" applyAlignment="1">
      <alignment horizontal="right" indent="1"/>
    </xf>
    <xf numFmtId="164" fontId="5" fillId="0" borderId="49" xfId="0" applyNumberFormat="1" applyFont="1" applyFill="1" applyBorder="1" applyAlignment="1">
      <alignment horizontal="right" indent="1"/>
    </xf>
    <xf numFmtId="164" fontId="5" fillId="0" borderId="50" xfId="1" applyNumberFormat="1" applyFont="1" applyFill="1" applyBorder="1" applyAlignment="1">
      <alignment horizontal="right" indent="1"/>
    </xf>
    <xf numFmtId="164" fontId="5" fillId="4" borderId="48" xfId="1" applyNumberFormat="1" applyFont="1" applyFill="1" applyBorder="1" applyAlignment="1">
      <alignment horizontal="right" indent="1"/>
    </xf>
    <xf numFmtId="164" fontId="5" fillId="0" borderId="49" xfId="1" applyNumberFormat="1" applyFont="1" applyFill="1" applyBorder="1" applyAlignment="1">
      <alignment horizontal="right" indent="1"/>
    </xf>
    <xf numFmtId="164" fontId="5" fillId="0" borderId="48" xfId="1" applyNumberFormat="1" applyFont="1" applyFill="1" applyBorder="1" applyAlignment="1">
      <alignment horizontal="right" indent="1"/>
    </xf>
    <xf numFmtId="166" fontId="5" fillId="0" borderId="50" xfId="2" applyNumberFormat="1" applyFont="1" applyFill="1" applyBorder="1" applyAlignment="1">
      <alignment horizontal="right" indent="1"/>
    </xf>
    <xf numFmtId="164" fontId="5" fillId="0" borderId="47" xfId="1" applyNumberFormat="1" applyFont="1" applyFill="1" applyBorder="1" applyAlignment="1">
      <alignment horizontal="right" indent="1"/>
    </xf>
    <xf numFmtId="164" fontId="5" fillId="0" borderId="40" xfId="1" applyNumberFormat="1" applyFont="1" applyFill="1" applyBorder="1" applyAlignment="1">
      <alignment horizontal="right" indent="1"/>
    </xf>
    <xf numFmtId="166" fontId="5" fillId="0" borderId="41" xfId="2" applyNumberFormat="1" applyFont="1" applyFill="1" applyBorder="1" applyAlignment="1">
      <alignment horizontal="right" indent="1"/>
    </xf>
    <xf numFmtId="164" fontId="3" fillId="3" borderId="78" xfId="0" applyNumberFormat="1" applyFont="1" applyFill="1" applyBorder="1" applyAlignment="1">
      <alignment horizontal="right" indent="1"/>
    </xf>
    <xf numFmtId="164" fontId="5" fillId="3" borderId="24" xfId="0" applyNumberFormat="1" applyFont="1" applyFill="1" applyBorder="1" applyAlignment="1">
      <alignment horizontal="right" indent="1"/>
    </xf>
    <xf numFmtId="164" fontId="5" fillId="3" borderId="18" xfId="1" applyNumberFormat="1" applyFont="1" applyFill="1" applyBorder="1" applyAlignment="1">
      <alignment horizontal="right" indent="1"/>
    </xf>
    <xf numFmtId="164" fontId="5" fillId="4" borderId="78" xfId="1" applyNumberFormat="1" applyFont="1" applyFill="1" applyBorder="1" applyAlignment="1">
      <alignment horizontal="right" indent="1"/>
    </xf>
    <xf numFmtId="164" fontId="5" fillId="3" borderId="24" xfId="1" applyNumberFormat="1" applyFont="1" applyFill="1" applyBorder="1" applyAlignment="1">
      <alignment horizontal="right" indent="1"/>
    </xf>
    <xf numFmtId="164" fontId="5" fillId="3" borderId="78" xfId="1" applyNumberFormat="1" applyFont="1" applyFill="1" applyBorder="1" applyAlignment="1">
      <alignment horizontal="right" indent="1"/>
    </xf>
    <xf numFmtId="166" fontId="5" fillId="3" borderId="18" xfId="2" applyNumberFormat="1" applyFont="1" applyFill="1" applyBorder="1" applyAlignment="1">
      <alignment horizontal="right" indent="1"/>
    </xf>
    <xf numFmtId="164" fontId="5" fillId="3" borderId="11" xfId="1" applyNumberFormat="1" applyFont="1" applyFill="1" applyBorder="1" applyAlignment="1">
      <alignment horizontal="right" indent="1"/>
    </xf>
    <xf numFmtId="164" fontId="3" fillId="0" borderId="44" xfId="0" applyNumberFormat="1" applyFont="1" applyFill="1" applyBorder="1" applyAlignment="1">
      <alignment horizontal="right" indent="1"/>
    </xf>
    <xf numFmtId="164" fontId="3" fillId="0" borderId="45" xfId="0" applyNumberFormat="1" applyFont="1" applyFill="1" applyBorder="1" applyAlignment="1">
      <alignment horizontal="right" indent="1"/>
    </xf>
    <xf numFmtId="166" fontId="3" fillId="0" borderId="44" xfId="2" applyNumberFormat="1" applyFont="1" applyFill="1" applyBorder="1" applyAlignment="1">
      <alignment horizontal="right" indent="1"/>
    </xf>
    <xf numFmtId="164" fontId="3" fillId="0" borderId="19" xfId="0" applyNumberFormat="1" applyFont="1" applyFill="1" applyBorder="1" applyAlignment="1">
      <alignment horizontal="right" indent="1"/>
    </xf>
    <xf numFmtId="166" fontId="5" fillId="0" borderId="19" xfId="2" applyNumberFormat="1" applyFont="1" applyFill="1" applyBorder="1" applyAlignment="1">
      <alignment horizontal="right" indent="1"/>
    </xf>
    <xf numFmtId="164" fontId="3" fillId="0" borderId="49" xfId="0" applyNumberFormat="1" applyFont="1" applyFill="1" applyBorder="1" applyAlignment="1">
      <alignment horizontal="right" indent="1"/>
    </xf>
    <xf numFmtId="164" fontId="3" fillId="0" borderId="35" xfId="0" applyNumberFormat="1" applyFont="1" applyFill="1" applyBorder="1" applyAlignment="1">
      <alignment horizontal="right" indent="1"/>
    </xf>
    <xf numFmtId="166" fontId="3" fillId="0" borderId="19" xfId="2" applyNumberFormat="1" applyFont="1" applyFill="1" applyBorder="1" applyAlignment="1">
      <alignment horizontal="right" indent="1"/>
    </xf>
    <xf numFmtId="164" fontId="3" fillId="0" borderId="22" xfId="0" applyNumberFormat="1" applyFont="1" applyFill="1" applyBorder="1" applyAlignment="1">
      <alignment horizontal="right" indent="1"/>
    </xf>
    <xf numFmtId="164" fontId="3" fillId="0" borderId="41" xfId="0" applyNumberFormat="1" applyFont="1" applyFill="1" applyBorder="1" applyAlignment="1">
      <alignment horizontal="right" indent="1"/>
    </xf>
    <xf numFmtId="166" fontId="3" fillId="0" borderId="22" xfId="2" applyNumberFormat="1" applyFont="1" applyFill="1" applyBorder="1" applyAlignment="1">
      <alignment horizontal="right" indent="1"/>
    </xf>
    <xf numFmtId="166" fontId="3" fillId="0" borderId="49" xfId="2" applyNumberFormat="1" applyFont="1" applyFill="1" applyBorder="1" applyAlignment="1">
      <alignment horizontal="right" indent="1"/>
    </xf>
    <xf numFmtId="164" fontId="40" fillId="0" borderId="43" xfId="0" applyNumberFormat="1" applyFont="1" applyFill="1" applyBorder="1" applyAlignment="1">
      <alignment horizontal="right" vertical="center" indent="1"/>
    </xf>
    <xf numFmtId="164" fontId="3" fillId="4" borderId="45" xfId="0" applyNumberFormat="1" applyFont="1" applyFill="1" applyBorder="1" applyAlignment="1">
      <alignment horizontal="right" vertical="center" indent="1"/>
    </xf>
    <xf numFmtId="166" fontId="3" fillId="0" borderId="45" xfId="2" applyNumberFormat="1" applyFont="1" applyFill="1" applyBorder="1" applyAlignment="1">
      <alignment horizontal="right" vertical="center" indent="1"/>
    </xf>
    <xf numFmtId="164" fontId="3" fillId="0" borderId="34" xfId="0" applyNumberFormat="1" applyFont="1" applyFill="1" applyBorder="1" applyAlignment="1">
      <alignment horizontal="right" vertical="center" indent="1"/>
    </xf>
    <xf numFmtId="164" fontId="40" fillId="0" borderId="34" xfId="0" applyNumberFormat="1" applyFont="1" applyFill="1" applyBorder="1" applyAlignment="1">
      <alignment horizontal="right" vertical="center" indent="1"/>
    </xf>
    <xf numFmtId="164" fontId="3" fillId="4" borderId="35" xfId="0" applyNumberFormat="1" applyFont="1" applyFill="1" applyBorder="1" applyAlignment="1">
      <alignment horizontal="right" vertical="center" indent="1"/>
    </xf>
    <xf numFmtId="166" fontId="3" fillId="0" borderId="35" xfId="2" applyNumberFormat="1" applyFont="1" applyFill="1" applyBorder="1" applyAlignment="1">
      <alignment horizontal="right" vertical="center" indent="1"/>
    </xf>
    <xf numFmtId="164" fontId="5" fillId="0" borderId="48" xfId="0" applyNumberFormat="1" applyFont="1" applyFill="1" applyBorder="1" applyAlignment="1">
      <alignment horizontal="right" vertical="center" indent="1"/>
    </xf>
    <xf numFmtId="164" fontId="5" fillId="0" borderId="49" xfId="0" applyNumberFormat="1" applyFont="1" applyFill="1" applyBorder="1" applyAlignment="1">
      <alignment horizontal="right" vertical="center" indent="1"/>
    </xf>
    <xf numFmtId="164" fontId="5" fillId="0" borderId="50" xfId="0" applyNumberFormat="1" applyFont="1" applyFill="1" applyBorder="1" applyAlignment="1">
      <alignment horizontal="right" vertical="center" indent="1"/>
    </xf>
    <xf numFmtId="164" fontId="41" fillId="0" borderId="48" xfId="0" applyNumberFormat="1" applyFont="1" applyFill="1" applyBorder="1" applyAlignment="1">
      <alignment horizontal="right" vertical="center" indent="1"/>
    </xf>
    <xf numFmtId="164" fontId="5" fillId="4" borderId="50" xfId="0" applyNumberFormat="1" applyFont="1" applyFill="1" applyBorder="1" applyAlignment="1">
      <alignment horizontal="right" vertical="center" indent="1"/>
    </xf>
    <xf numFmtId="166" fontId="5" fillId="0" borderId="50" xfId="2" applyNumberFormat="1" applyFont="1" applyFill="1" applyBorder="1" applyAlignment="1">
      <alignment horizontal="right" vertical="center" indent="1"/>
    </xf>
    <xf numFmtId="164" fontId="5" fillId="0" borderId="38" xfId="0" applyNumberFormat="1" applyFont="1" applyFill="1" applyBorder="1" applyAlignment="1">
      <alignment horizontal="right" vertical="center" indent="1"/>
    </xf>
    <xf numFmtId="164" fontId="5" fillId="0" borderId="21" xfId="0" applyNumberFormat="1" applyFont="1" applyFill="1" applyBorder="1" applyAlignment="1">
      <alignment horizontal="right" vertical="center" indent="1"/>
    </xf>
    <xf numFmtId="164" fontId="5" fillId="0" borderId="39" xfId="0" applyNumberFormat="1" applyFont="1" applyFill="1" applyBorder="1" applyAlignment="1">
      <alignment horizontal="right" vertical="center" indent="1"/>
    </xf>
    <xf numFmtId="164" fontId="41" fillId="0" borderId="38" xfId="0" applyNumberFormat="1" applyFont="1" applyFill="1" applyBorder="1" applyAlignment="1">
      <alignment horizontal="right" vertical="center" indent="1"/>
    </xf>
    <xf numFmtId="164" fontId="5" fillId="4" borderId="39" xfId="0" applyNumberFormat="1" applyFont="1" applyFill="1" applyBorder="1" applyAlignment="1">
      <alignment horizontal="right" vertical="center" indent="1"/>
    </xf>
    <xf numFmtId="166" fontId="5" fillId="0" borderId="39" xfId="2" applyNumberFormat="1" applyFont="1" applyFill="1" applyBorder="1" applyAlignment="1">
      <alignment horizontal="right" vertical="center" indent="1"/>
    </xf>
    <xf numFmtId="164" fontId="5" fillId="0" borderId="34" xfId="0" applyNumberFormat="1" applyFont="1" applyFill="1" applyBorder="1" applyAlignment="1">
      <alignment horizontal="right" vertical="center" indent="1"/>
    </xf>
    <xf numFmtId="164" fontId="5" fillId="0" borderId="19" xfId="0" applyNumberFormat="1" applyFont="1" applyFill="1" applyBorder="1" applyAlignment="1">
      <alignment horizontal="right" vertical="center" indent="1"/>
    </xf>
    <xf numFmtId="164" fontId="5" fillId="0" borderId="35" xfId="0" applyNumberFormat="1" applyFont="1" applyFill="1" applyBorder="1" applyAlignment="1">
      <alignment horizontal="right" vertical="center" indent="1"/>
    </xf>
    <xf numFmtId="164" fontId="41" fillId="0" borderId="34" xfId="0" applyNumberFormat="1" applyFont="1" applyFill="1" applyBorder="1" applyAlignment="1">
      <alignment horizontal="right" vertical="center" indent="1"/>
    </xf>
    <xf numFmtId="164" fontId="5" fillId="4" borderId="35" xfId="0" applyNumberFormat="1" applyFont="1" applyFill="1" applyBorder="1" applyAlignment="1">
      <alignment horizontal="right" vertical="center" indent="1"/>
    </xf>
    <xf numFmtId="166" fontId="5" fillId="0" borderId="35" xfId="2" applyNumberFormat="1" applyFont="1" applyFill="1" applyBorder="1" applyAlignment="1">
      <alignment horizontal="right" vertical="center" indent="1"/>
    </xf>
    <xf numFmtId="164" fontId="5" fillId="0" borderId="40" xfId="0" applyNumberFormat="1" applyFont="1" applyFill="1" applyBorder="1" applyAlignment="1">
      <alignment horizontal="right" vertical="center" indent="1"/>
    </xf>
    <xf numFmtId="164" fontId="5" fillId="0" borderId="22" xfId="0" applyNumberFormat="1" applyFont="1" applyFill="1" applyBorder="1" applyAlignment="1">
      <alignment horizontal="right" vertical="center" indent="1"/>
    </xf>
    <xf numFmtId="164" fontId="5" fillId="0" borderId="41" xfId="0" applyNumberFormat="1" applyFont="1" applyFill="1" applyBorder="1" applyAlignment="1">
      <alignment horizontal="right" vertical="center" indent="1"/>
    </xf>
    <xf numFmtId="164" fontId="41" fillId="0" borderId="40" xfId="0" applyNumberFormat="1" applyFont="1" applyFill="1" applyBorder="1" applyAlignment="1">
      <alignment horizontal="right" vertical="center" indent="1"/>
    </xf>
    <xf numFmtId="164" fontId="5" fillId="4" borderId="41" xfId="0" applyNumberFormat="1" applyFont="1" applyFill="1" applyBorder="1" applyAlignment="1">
      <alignment horizontal="right" vertical="center" indent="1"/>
    </xf>
    <xf numFmtId="166" fontId="5" fillId="0" borderId="41" xfId="2" applyNumberFormat="1" applyFont="1" applyFill="1" applyBorder="1" applyAlignment="1">
      <alignment horizontal="right" vertical="center" indent="1"/>
    </xf>
    <xf numFmtId="164" fontId="41" fillId="0" borderId="43" xfId="0" applyNumberFormat="1" applyFont="1" applyFill="1" applyBorder="1" applyAlignment="1">
      <alignment horizontal="right" vertical="center" indent="1"/>
    </xf>
    <xf numFmtId="164" fontId="5" fillId="4" borderId="45" xfId="0" applyNumberFormat="1" applyFont="1" applyFill="1" applyBorder="1" applyAlignment="1">
      <alignment horizontal="right" vertical="center" indent="1"/>
    </xf>
    <xf numFmtId="166" fontId="5" fillId="0" borderId="45" xfId="2" applyNumberFormat="1" applyFont="1" applyFill="1" applyBorder="1" applyAlignment="1">
      <alignment horizontal="right" vertical="center" indent="1"/>
    </xf>
    <xf numFmtId="164" fontId="5" fillId="7" borderId="35" xfId="0" applyNumberFormat="1" applyFont="1" applyFill="1" applyBorder="1" applyAlignment="1">
      <alignment horizontal="right" vertical="center" indent="1"/>
    </xf>
    <xf numFmtId="164" fontId="5" fillId="5" borderId="50" xfId="0" applyNumberFormat="1" applyFont="1" applyFill="1" applyBorder="1" applyAlignment="1">
      <alignment horizontal="right" vertical="center" indent="1"/>
    </xf>
    <xf numFmtId="165" fontId="5" fillId="0" borderId="38" xfId="0" applyNumberFormat="1" applyFont="1" applyFill="1" applyBorder="1" applyAlignment="1">
      <alignment horizontal="right" vertical="center" indent="1"/>
    </xf>
    <xf numFmtId="164" fontId="5" fillId="0" borderId="34" xfId="0" applyNumberFormat="1" applyFont="1" applyBorder="1" applyAlignment="1">
      <alignment horizontal="right" vertical="center" indent="1"/>
    </xf>
    <xf numFmtId="164" fontId="5" fillId="0" borderId="19" xfId="0" applyNumberFormat="1" applyFont="1" applyBorder="1" applyAlignment="1">
      <alignment horizontal="right" vertical="center" indent="1"/>
    </xf>
    <xf numFmtId="165" fontId="5" fillId="0" borderId="34" xfId="0" applyNumberFormat="1" applyFont="1" applyBorder="1" applyAlignment="1">
      <alignment horizontal="right" vertical="center" indent="1"/>
    </xf>
    <xf numFmtId="166" fontId="5" fillId="0" borderId="35" xfId="2" applyNumberFormat="1" applyFont="1" applyBorder="1" applyAlignment="1">
      <alignment horizontal="right" vertical="center" indent="1"/>
    </xf>
    <xf numFmtId="164" fontId="5" fillId="0" borderId="35" xfId="0" applyNumberFormat="1" applyFont="1" applyBorder="1" applyAlignment="1">
      <alignment horizontal="right" vertical="center" indent="1"/>
    </xf>
    <xf numFmtId="164" fontId="5" fillId="0" borderId="40" xfId="0" applyNumberFormat="1" applyFont="1" applyBorder="1" applyAlignment="1">
      <alignment horizontal="right" vertical="center" indent="1"/>
    </xf>
    <xf numFmtId="164" fontId="5" fillId="0" borderId="22" xfId="0" applyNumberFormat="1" applyFont="1" applyBorder="1" applyAlignment="1">
      <alignment horizontal="right" vertical="center" indent="1"/>
    </xf>
    <xf numFmtId="164" fontId="5" fillId="0" borderId="41" xfId="0" applyNumberFormat="1" applyFont="1" applyBorder="1" applyAlignment="1">
      <alignment horizontal="right" vertical="center" indent="1"/>
    </xf>
    <xf numFmtId="165" fontId="5" fillId="0" borderId="40" xfId="0" applyNumberFormat="1" applyFont="1" applyBorder="1" applyAlignment="1">
      <alignment horizontal="right" vertical="center" indent="1"/>
    </xf>
    <xf numFmtId="166" fontId="5" fillId="0" borderId="41" xfId="2" applyNumberFormat="1" applyFont="1" applyBorder="1" applyAlignment="1">
      <alignment horizontal="right" vertical="center" indent="1"/>
    </xf>
    <xf numFmtId="164" fontId="5" fillId="0" borderId="44" xfId="0" applyNumberFormat="1" applyFont="1" applyBorder="1" applyAlignment="1">
      <alignment horizontal="right" vertical="center" indent="1"/>
    </xf>
    <xf numFmtId="165" fontId="3" fillId="0" borderId="43" xfId="0" applyNumberFormat="1" applyFont="1" applyBorder="1" applyAlignment="1">
      <alignment horizontal="right" vertical="center" indent="1"/>
    </xf>
    <xf numFmtId="166" fontId="5" fillId="0" borderId="45" xfId="2" applyNumberFormat="1" applyFont="1" applyBorder="1" applyAlignment="1">
      <alignment horizontal="right" vertical="center" indent="1"/>
    </xf>
    <xf numFmtId="164" fontId="5" fillId="0" borderId="48" xfId="0" applyNumberFormat="1" applyFont="1" applyBorder="1" applyAlignment="1">
      <alignment horizontal="right" vertical="center" indent="1"/>
    </xf>
    <xf numFmtId="164" fontId="5" fillId="0" borderId="49" xfId="0" applyNumberFormat="1" applyFont="1" applyBorder="1" applyAlignment="1">
      <alignment horizontal="right" vertical="center" indent="1"/>
    </xf>
    <xf numFmtId="166" fontId="5" fillId="0" borderId="50" xfId="2" applyNumberFormat="1" applyFont="1" applyBorder="1" applyAlignment="1">
      <alignment horizontal="right" vertical="center" indent="1"/>
    </xf>
    <xf numFmtId="164" fontId="5" fillId="0" borderId="38"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166" fontId="5" fillId="0" borderId="39" xfId="2" applyNumberFormat="1" applyFont="1" applyBorder="1" applyAlignment="1">
      <alignment horizontal="right" vertical="center" indent="1"/>
    </xf>
    <xf numFmtId="0" fontId="6" fillId="0" borderId="14" xfId="0" applyFont="1" applyBorder="1" applyAlignment="1">
      <alignment horizontal="right" wrapText="1"/>
    </xf>
    <xf numFmtId="3" fontId="5" fillId="0" borderId="33" xfId="0" applyNumberFormat="1" applyFont="1" applyBorder="1" applyAlignment="1">
      <alignment horizontal="right" indent="1"/>
    </xf>
    <xf numFmtId="3" fontId="5" fillId="0" borderId="36" xfId="0" applyNumberFormat="1" applyFont="1" applyBorder="1" applyAlignment="1">
      <alignment horizontal="right" indent="1"/>
    </xf>
    <xf numFmtId="3" fontId="5" fillId="0" borderId="42" xfId="0" applyNumberFormat="1" applyFont="1" applyBorder="1" applyAlignment="1">
      <alignment horizontal="right" indent="1"/>
    </xf>
    <xf numFmtId="3" fontId="5" fillId="0" borderId="42" xfId="0" applyNumberFormat="1" applyFont="1" applyFill="1" applyBorder="1" applyAlignment="1">
      <alignment horizontal="right" indent="1"/>
    </xf>
    <xf numFmtId="0" fontId="6" fillId="3" borderId="15" xfId="0" applyFont="1" applyFill="1" applyBorder="1" applyAlignment="1">
      <alignment horizontal="right" wrapText="1"/>
    </xf>
    <xf numFmtId="0" fontId="4" fillId="3" borderId="10" xfId="0" applyFont="1" applyFill="1" applyBorder="1" applyAlignment="1">
      <alignment horizontal="right" vertical="center" indent="1"/>
    </xf>
    <xf numFmtId="164" fontId="3" fillId="3" borderId="78" xfId="0" applyNumberFormat="1" applyFont="1" applyFill="1" applyBorder="1" applyAlignment="1">
      <alignment horizontal="right" vertical="center" indent="1"/>
    </xf>
    <xf numFmtId="164" fontId="3" fillId="3" borderId="24" xfId="0" applyNumberFormat="1" applyFont="1" applyFill="1" applyBorder="1" applyAlignment="1">
      <alignment horizontal="right" vertical="center" indent="1"/>
    </xf>
    <xf numFmtId="164" fontId="5" fillId="3" borderId="78" xfId="0" applyNumberFormat="1" applyFont="1" applyFill="1" applyBorder="1" applyAlignment="1">
      <alignment horizontal="right" vertical="center" indent="1"/>
    </xf>
    <xf numFmtId="164" fontId="5" fillId="3" borderId="11" xfId="1" applyNumberFormat="1" applyFont="1" applyFill="1" applyBorder="1" applyAlignment="1">
      <alignment horizontal="right" vertical="center" indent="1"/>
    </xf>
    <xf numFmtId="164" fontId="5" fillId="3" borderId="18" xfId="0" applyNumberFormat="1" applyFont="1" applyFill="1" applyBorder="1" applyAlignment="1">
      <alignment horizontal="right" vertical="center" indent="1"/>
    </xf>
    <xf numFmtId="164" fontId="5" fillId="3" borderId="12" xfId="0" applyNumberFormat="1" applyFont="1" applyFill="1" applyBorder="1" applyAlignment="1">
      <alignment horizontal="right" vertical="center" indent="1"/>
    </xf>
    <xf numFmtId="164" fontId="3" fillId="0" borderId="78" xfId="0" applyNumberFormat="1" applyFont="1" applyFill="1" applyBorder="1" applyAlignment="1">
      <alignment horizontal="right" vertical="center" indent="1"/>
    </xf>
    <xf numFmtId="164" fontId="3" fillId="0" borderId="18" xfId="0" applyNumberFormat="1" applyFont="1" applyFill="1" applyBorder="1" applyAlignment="1">
      <alignment horizontal="right" vertical="center" indent="1"/>
    </xf>
    <xf numFmtId="166" fontId="3" fillId="0" borderId="18" xfId="0" applyNumberFormat="1" applyFont="1" applyFill="1" applyBorder="1" applyAlignment="1">
      <alignment horizontal="right" vertical="center" indent="1"/>
    </xf>
    <xf numFmtId="164" fontId="5" fillId="0" borderId="11" xfId="1" applyNumberFormat="1" applyFont="1" applyFill="1" applyBorder="1" applyAlignment="1">
      <alignment horizontal="right" vertical="center" indent="1"/>
    </xf>
    <xf numFmtId="164" fontId="3" fillId="0" borderId="12" xfId="0" applyNumberFormat="1" applyFont="1" applyFill="1" applyBorder="1" applyAlignment="1">
      <alignment horizontal="right" vertical="center" indent="1"/>
    </xf>
    <xf numFmtId="0" fontId="3" fillId="8" borderId="0" xfId="0" applyFont="1" applyFill="1"/>
    <xf numFmtId="0" fontId="1" fillId="8" borderId="0" xfId="4" applyFill="1"/>
    <xf numFmtId="0" fontId="27" fillId="8" borderId="0" xfId="4" applyFont="1" applyFill="1" applyAlignment="1" applyProtection="1">
      <alignment horizontal="right"/>
      <protection locked="0"/>
    </xf>
    <xf numFmtId="0" fontId="1" fillId="8" borderId="0" xfId="4" applyFill="1" applyAlignment="1" applyProtection="1">
      <alignment horizontal="right"/>
      <protection locked="0"/>
    </xf>
    <xf numFmtId="0" fontId="5" fillId="0" borderId="0" xfId="1" applyFont="1" applyAlignment="1"/>
    <xf numFmtId="0" fontId="0" fillId="0" borderId="0" xfId="0" applyBorder="1" applyAlignment="1"/>
    <xf numFmtId="0" fontId="6" fillId="0" borderId="23" xfId="0" applyFont="1" applyFill="1" applyBorder="1" applyAlignment="1">
      <alignment horizontal="right" vertical="center" indent="1"/>
    </xf>
    <xf numFmtId="0" fontId="6" fillId="0" borderId="63" xfId="0" applyFont="1" applyFill="1" applyBorder="1" applyAlignment="1">
      <alignment horizontal="right" vertical="center" indent="1"/>
    </xf>
    <xf numFmtId="164" fontId="5" fillId="0" borderId="64" xfId="0" applyNumberFormat="1" applyFont="1" applyFill="1" applyBorder="1" applyAlignment="1">
      <alignment horizontal="right" vertical="center" indent="1"/>
    </xf>
    <xf numFmtId="0" fontId="9" fillId="0" borderId="0" xfId="0" applyFont="1"/>
    <xf numFmtId="0" fontId="5" fillId="0" borderId="0" xfId="0" applyFont="1"/>
    <xf numFmtId="0" fontId="5" fillId="0" borderId="0" xfId="0" applyFont="1" applyAlignment="1">
      <alignment horizontal="left"/>
    </xf>
    <xf numFmtId="0" fontId="5" fillId="0" borderId="4" xfId="0" applyFont="1" applyBorder="1"/>
    <xf numFmtId="0" fontId="6" fillId="0" borderId="6" xfId="0" applyFont="1" applyBorder="1" applyAlignment="1">
      <alignment horizontal="right" wrapText="1"/>
    </xf>
    <xf numFmtId="0" fontId="6" fillId="0" borderId="13" xfId="0" applyFont="1" applyBorder="1" applyAlignment="1">
      <alignment horizontal="right" wrapText="1"/>
    </xf>
    <xf numFmtId="0" fontId="6" fillId="0" borderId="16" xfId="0" applyFont="1" applyFill="1" applyBorder="1" applyAlignment="1">
      <alignment horizontal="right" wrapText="1"/>
    </xf>
    <xf numFmtId="0" fontId="6" fillId="0" borderId="14" xfId="0" applyFont="1" applyFill="1" applyBorder="1" applyAlignment="1">
      <alignment horizontal="right" wrapText="1"/>
    </xf>
    <xf numFmtId="0" fontId="5" fillId="0" borderId="0" xfId="0" applyFont="1" applyAlignment="1">
      <alignment horizontal="right"/>
    </xf>
    <xf numFmtId="0" fontId="6" fillId="0" borderId="5" xfId="0" applyFont="1" applyBorder="1" applyAlignment="1">
      <alignment horizontal="right"/>
    </xf>
    <xf numFmtId="164" fontId="5" fillId="0" borderId="7" xfId="0" applyNumberFormat="1" applyFont="1" applyBorder="1" applyAlignment="1">
      <alignment horizontal="right" indent="1"/>
    </xf>
    <xf numFmtId="164" fontId="5" fillId="0" borderId="8" xfId="0" applyNumberFormat="1" applyFont="1" applyBorder="1" applyAlignment="1">
      <alignment horizontal="right" indent="1"/>
    </xf>
    <xf numFmtId="0" fontId="5" fillId="0" borderId="7" xfId="0" applyFont="1" applyFill="1" applyBorder="1" applyAlignment="1">
      <alignment horizontal="right" indent="1"/>
    </xf>
    <xf numFmtId="0" fontId="5" fillId="0" borderId="17" xfId="0" applyFont="1" applyFill="1" applyBorder="1" applyAlignment="1">
      <alignment horizontal="right" indent="1"/>
    </xf>
    <xf numFmtId="164" fontId="5" fillId="0" borderId="0" xfId="0" applyNumberFormat="1" applyFont="1" applyAlignment="1">
      <alignment horizontal="right"/>
    </xf>
    <xf numFmtId="0" fontId="6" fillId="0" borderId="72" xfId="0" applyFont="1" applyBorder="1" applyAlignment="1">
      <alignment horizontal="right"/>
    </xf>
    <xf numFmtId="164" fontId="5" fillId="0" borderId="57" xfId="0" applyNumberFormat="1" applyFont="1" applyBorder="1" applyAlignment="1">
      <alignment horizontal="right" indent="1"/>
    </xf>
    <xf numFmtId="0" fontId="5" fillId="0" borderId="35" xfId="0" applyFont="1" applyFill="1" applyBorder="1" applyAlignment="1">
      <alignment horizontal="right" indent="1"/>
    </xf>
    <xf numFmtId="0" fontId="6" fillId="0" borderId="74" xfId="0" applyFont="1" applyBorder="1" applyAlignment="1">
      <alignment horizontal="right"/>
    </xf>
    <xf numFmtId="164" fontId="5" fillId="0" borderId="71" xfId="0" applyNumberFormat="1" applyFont="1" applyBorder="1" applyAlignment="1">
      <alignment horizontal="right" indent="1"/>
    </xf>
    <xf numFmtId="164" fontId="5" fillId="0" borderId="36" xfId="0" applyNumberFormat="1" applyFont="1" applyBorder="1" applyAlignment="1">
      <alignment horizontal="right" indent="1"/>
    </xf>
    <xf numFmtId="165" fontId="5" fillId="0" borderId="71" xfId="0" applyNumberFormat="1" applyFont="1" applyFill="1" applyBorder="1" applyAlignment="1">
      <alignment horizontal="right" indent="1"/>
    </xf>
    <xf numFmtId="0" fontId="5" fillId="0" borderId="41" xfId="0" applyFont="1" applyFill="1" applyBorder="1" applyAlignment="1">
      <alignment horizontal="right" indent="1"/>
    </xf>
    <xf numFmtId="164" fontId="5" fillId="0" borderId="71" xfId="0" applyNumberFormat="1" applyFont="1" applyFill="1" applyBorder="1" applyAlignment="1">
      <alignment horizontal="right" indent="1"/>
    </xf>
    <xf numFmtId="164" fontId="5" fillId="0" borderId="36" xfId="0" applyNumberFormat="1" applyFont="1" applyFill="1" applyBorder="1" applyAlignment="1">
      <alignment horizontal="right" indent="1"/>
    </xf>
    <xf numFmtId="3" fontId="5" fillId="3" borderId="70" xfId="0" applyNumberFormat="1" applyFont="1" applyFill="1" applyBorder="1" applyAlignment="1">
      <alignment horizontal="right" indent="1"/>
    </xf>
    <xf numFmtId="0" fontId="6" fillId="0" borderId="73" xfId="0" applyFont="1" applyBorder="1" applyAlignment="1">
      <alignment horizontal="right"/>
    </xf>
    <xf numFmtId="164" fontId="5" fillId="0" borderId="55" xfId="0" applyNumberFormat="1" applyFont="1" applyBorder="1" applyAlignment="1">
      <alignment horizontal="right" indent="1"/>
    </xf>
    <xf numFmtId="164" fontId="5" fillId="0" borderId="42" xfId="0" applyNumberFormat="1" applyFont="1" applyBorder="1" applyAlignment="1">
      <alignment horizontal="right" indent="1"/>
    </xf>
    <xf numFmtId="0" fontId="5" fillId="0" borderId="45" xfId="0" applyFont="1" applyFill="1" applyBorder="1" applyAlignment="1">
      <alignment horizontal="right" indent="1"/>
    </xf>
    <xf numFmtId="0" fontId="6" fillId="0" borderId="75" xfId="0" applyFont="1" applyBorder="1" applyAlignment="1">
      <alignment horizontal="right"/>
    </xf>
    <xf numFmtId="164" fontId="5" fillId="0" borderId="59" xfId="0" applyNumberFormat="1" applyFont="1" applyBorder="1" applyAlignment="1">
      <alignment horizontal="right" indent="1"/>
    </xf>
    <xf numFmtId="0" fontId="6" fillId="0" borderId="76" xfId="0" applyFont="1" applyBorder="1" applyAlignment="1">
      <alignment horizontal="right"/>
    </xf>
    <xf numFmtId="0" fontId="6" fillId="0" borderId="0" xfId="0" applyFont="1" applyFill="1" applyBorder="1" applyAlignment="1">
      <alignment horizontal="right"/>
    </xf>
    <xf numFmtId="0" fontId="5" fillId="0" borderId="0" xfId="0" applyFont="1" applyFill="1" applyAlignment="1">
      <alignment horizontal="right"/>
    </xf>
    <xf numFmtId="0" fontId="6" fillId="0" borderId="26" xfId="0" applyFont="1" applyBorder="1" applyAlignment="1">
      <alignment horizontal="lef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0" xfId="0" applyFont="1" applyAlignment="1">
      <alignment horizontal="left" wrapText="1"/>
    </xf>
    <xf numFmtId="0" fontId="5" fillId="0" borderId="0" xfId="0" applyFont="1" applyAlignment="1">
      <alignment horizontal="left" vertical="top" wrapText="1"/>
    </xf>
    <xf numFmtId="0" fontId="46" fillId="0" borderId="0" xfId="0" applyFont="1" applyBorder="1" applyAlignment="1">
      <alignment horizontal="center" vertical="center" textRotation="90" wrapText="1"/>
    </xf>
    <xf numFmtId="0" fontId="5" fillId="0" borderId="0" xfId="0" applyFont="1" applyBorder="1" applyAlignment="1">
      <alignment horizontal="left" vertical="top" wrapText="1"/>
    </xf>
    <xf numFmtId="0" fontId="7" fillId="0" borderId="0" xfId="0" applyFont="1" applyBorder="1" applyAlignment="1">
      <alignment horizontal="left" vertical="top" wrapText="1"/>
    </xf>
    <xf numFmtId="0" fontId="5" fillId="0" borderId="0" xfId="0" applyFont="1" applyFill="1"/>
    <xf numFmtId="0" fontId="7" fillId="0" borderId="0" xfId="0" applyFont="1" applyBorder="1" applyAlignment="1"/>
    <xf numFmtId="0" fontId="6" fillId="0" borderId="14" xfId="0" quotePrefix="1" applyFont="1" applyBorder="1" applyAlignment="1">
      <alignment horizontal="right" wrapText="1"/>
    </xf>
    <xf numFmtId="0" fontId="6" fillId="3" borderId="15" xfId="0" quotePrefix="1" applyFont="1" applyFill="1" applyBorder="1" applyAlignment="1">
      <alignment horizontal="right" wrapText="1"/>
    </xf>
    <xf numFmtId="0" fontId="5" fillId="0" borderId="0" xfId="0" quotePrefix="1" applyFont="1" applyAlignment="1">
      <alignment wrapText="1"/>
    </xf>
    <xf numFmtId="0" fontId="5" fillId="0" borderId="0" xfId="0" quotePrefix="1" applyFont="1"/>
    <xf numFmtId="164" fontId="5" fillId="3" borderId="9" xfId="0" applyNumberFormat="1" applyFont="1" applyFill="1" applyBorder="1" applyAlignment="1">
      <alignment horizontal="right" indent="1"/>
    </xf>
    <xf numFmtId="164" fontId="5" fillId="0" borderId="0" xfId="0" applyNumberFormat="1" applyFont="1" applyFill="1"/>
    <xf numFmtId="164" fontId="5" fillId="3" borderId="58" xfId="0" applyNumberFormat="1" applyFont="1" applyFill="1" applyBorder="1" applyAlignment="1">
      <alignment horizontal="right" indent="1"/>
    </xf>
    <xf numFmtId="164" fontId="5" fillId="3" borderId="70" xfId="0" applyNumberFormat="1" applyFont="1" applyFill="1" applyBorder="1" applyAlignment="1">
      <alignment horizontal="right" indent="1"/>
    </xf>
    <xf numFmtId="164" fontId="5" fillId="3" borderId="56" xfId="0" applyNumberFormat="1" applyFont="1" applyFill="1" applyBorder="1" applyAlignment="1">
      <alignment horizontal="right" indent="1"/>
    </xf>
    <xf numFmtId="164" fontId="5" fillId="0" borderId="51" xfId="0" applyNumberFormat="1" applyFont="1" applyFill="1" applyBorder="1" applyAlignment="1">
      <alignment horizontal="right" indent="1"/>
    </xf>
    <xf numFmtId="164" fontId="5" fillId="0" borderId="37" xfId="0" applyNumberFormat="1" applyFont="1" applyFill="1" applyBorder="1" applyAlignment="1">
      <alignment horizontal="right" indent="1"/>
    </xf>
    <xf numFmtId="164" fontId="5" fillId="3" borderId="52" xfId="0" applyNumberFormat="1" applyFont="1" applyFill="1" applyBorder="1" applyAlignment="1">
      <alignment horizontal="right" indent="1"/>
    </xf>
    <xf numFmtId="164" fontId="5" fillId="3" borderId="12" xfId="0" applyNumberFormat="1" applyFont="1" applyFill="1" applyBorder="1" applyAlignment="1">
      <alignment horizontal="right" indent="1"/>
    </xf>
    <xf numFmtId="0" fontId="6" fillId="0" borderId="0" xfId="0" applyFont="1" applyBorder="1" applyAlignment="1">
      <alignment horizontal="right"/>
    </xf>
    <xf numFmtId="164" fontId="5" fillId="0" borderId="0" xfId="0" applyNumberFormat="1" applyFont="1" applyBorder="1" applyAlignment="1">
      <alignment horizontal="right"/>
    </xf>
    <xf numFmtId="0" fontId="5" fillId="0" borderId="4" xfId="0" applyFont="1" applyFill="1" applyBorder="1"/>
    <xf numFmtId="0" fontId="6" fillId="0" borderId="4" xfId="0" quotePrefix="1" applyFont="1" applyFill="1" applyBorder="1" applyAlignment="1">
      <alignment horizontal="center" vertical="center" wrapText="1"/>
    </xf>
    <xf numFmtId="0" fontId="6" fillId="0" borderId="6" xfId="0" applyFont="1" applyFill="1" applyBorder="1" applyAlignment="1">
      <alignment horizontal="right" wrapText="1"/>
    </xf>
    <xf numFmtId="0" fontId="6" fillId="0" borderId="15" xfId="0" quotePrefix="1" applyFont="1" applyBorder="1" applyAlignment="1">
      <alignment horizontal="right" wrapText="1"/>
    </xf>
    <xf numFmtId="0" fontId="6" fillId="0" borderId="13" xfId="0" quotePrefix="1" applyFont="1" applyBorder="1" applyAlignment="1">
      <alignment horizontal="right" wrapText="1"/>
    </xf>
    <xf numFmtId="0" fontId="6" fillId="3" borderId="79" xfId="0" quotePrefix="1" applyFont="1" applyFill="1" applyBorder="1" applyAlignment="1">
      <alignment horizontal="right" vertical="top" wrapText="1"/>
    </xf>
    <xf numFmtId="0" fontId="6" fillId="0" borderId="5" xfId="0" applyFont="1" applyFill="1" applyBorder="1" applyAlignment="1">
      <alignment horizontal="right"/>
    </xf>
    <xf numFmtId="164" fontId="5" fillId="0" borderId="9" xfId="0" applyNumberFormat="1" applyFont="1" applyFill="1" applyBorder="1" applyAlignment="1">
      <alignment horizontal="right" indent="1"/>
    </xf>
    <xf numFmtId="164" fontId="5" fillId="0" borderId="0" xfId="0" applyNumberFormat="1" applyFont="1"/>
    <xf numFmtId="168" fontId="5" fillId="0" borderId="0" xfId="0" applyNumberFormat="1" applyFont="1"/>
    <xf numFmtId="164" fontId="5" fillId="0" borderId="58" xfId="0" applyNumberFormat="1" applyFont="1" applyFill="1" applyBorder="1" applyAlignment="1">
      <alignment horizontal="right" indent="1"/>
    </xf>
    <xf numFmtId="0" fontId="6" fillId="0" borderId="74" xfId="0" applyFont="1" applyFill="1" applyBorder="1" applyAlignment="1">
      <alignment horizontal="right"/>
    </xf>
    <xf numFmtId="164" fontId="5" fillId="0" borderId="70" xfId="0" applyNumberFormat="1" applyFont="1" applyFill="1" applyBorder="1" applyAlignment="1">
      <alignment horizontal="right" indent="1"/>
    </xf>
    <xf numFmtId="164" fontId="5" fillId="0" borderId="56" xfId="0" applyNumberFormat="1" applyFont="1" applyFill="1" applyBorder="1" applyAlignment="1">
      <alignment horizontal="right" indent="1"/>
    </xf>
    <xf numFmtId="168" fontId="5" fillId="0" borderId="0" xfId="0" applyNumberFormat="1" applyFont="1" applyFill="1"/>
    <xf numFmtId="0" fontId="5" fillId="0" borderId="0" xfId="0" applyFont="1" applyFill="1" applyAlignment="1">
      <alignment horizontal="left"/>
    </xf>
    <xf numFmtId="3" fontId="5" fillId="0" borderId="33" xfId="0" applyNumberFormat="1" applyFont="1" applyFill="1" applyBorder="1" applyAlignment="1">
      <alignment horizontal="right" indent="1"/>
    </xf>
    <xf numFmtId="165" fontId="5" fillId="0" borderId="0" xfId="0" applyNumberFormat="1" applyFont="1" applyAlignment="1">
      <alignment horizontal="left"/>
    </xf>
    <xf numFmtId="0" fontId="11" fillId="0" borderId="0" xfId="1" applyFont="1" applyFill="1" applyBorder="1" applyAlignment="1">
      <alignment horizontal="right" wrapText="1"/>
    </xf>
    <xf numFmtId="166" fontId="5" fillId="0" borderId="0" xfId="2" applyNumberFormat="1" applyFont="1" applyFill="1" applyBorder="1" applyAlignment="1">
      <alignment horizontal="right"/>
    </xf>
    <xf numFmtId="0" fontId="6" fillId="3" borderId="13" xfId="0" applyFont="1" applyFill="1" applyBorder="1" applyAlignment="1">
      <alignment horizontal="right" vertical="center"/>
    </xf>
    <xf numFmtId="166" fontId="5" fillId="0" borderId="44" xfId="2" applyNumberFormat="1" applyFont="1" applyFill="1" applyBorder="1" applyAlignment="1">
      <alignment horizontal="right" indent="1"/>
    </xf>
    <xf numFmtId="164" fontId="5" fillId="0" borderId="56" xfId="0" applyNumberFormat="1" applyFont="1" applyFill="1" applyBorder="1" applyAlignment="1">
      <alignment horizontal="right"/>
    </xf>
    <xf numFmtId="2" fontId="22" fillId="3" borderId="20" xfId="0" applyNumberFormat="1" applyFont="1" applyFill="1" applyBorder="1" applyAlignment="1">
      <alignment horizontal="right" wrapText="1"/>
    </xf>
    <xf numFmtId="3" fontId="24" fillId="3" borderId="19" xfId="0" applyNumberFormat="1" applyFont="1" applyFill="1" applyBorder="1" applyAlignment="1" applyProtection="1">
      <alignment vertical="center" wrapText="1"/>
    </xf>
    <xf numFmtId="3" fontId="25" fillId="3" borderId="19" xfId="0" applyNumberFormat="1" applyFont="1" applyFill="1" applyBorder="1" applyAlignment="1" applyProtection="1">
      <alignment horizontal="right" vertical="center" wrapText="1"/>
    </xf>
    <xf numFmtId="166" fontId="25" fillId="3" borderId="19" xfId="2" applyNumberFormat="1" applyFont="1" applyFill="1" applyBorder="1" applyAlignment="1" applyProtection="1">
      <alignment horizontal="right" vertical="center" wrapText="1"/>
    </xf>
    <xf numFmtId="3" fontId="25" fillId="3" borderId="19" xfId="0" quotePrefix="1" applyNumberFormat="1" applyFont="1" applyFill="1" applyBorder="1" applyAlignment="1" applyProtection="1">
      <alignment horizontal="right" vertical="center" wrapText="1"/>
    </xf>
    <xf numFmtId="3" fontId="25" fillId="3" borderId="49" xfId="0" quotePrefix="1" applyNumberFormat="1" applyFont="1" applyFill="1" applyBorder="1" applyAlignment="1" applyProtection="1">
      <alignment horizontal="right" vertical="center" wrapText="1"/>
    </xf>
    <xf numFmtId="167" fontId="25" fillId="0" borderId="68" xfId="0" quotePrefix="1" applyNumberFormat="1" applyFont="1" applyBorder="1" applyAlignment="1" applyProtection="1">
      <alignment horizontal="left" vertical="center" indent="1"/>
    </xf>
    <xf numFmtId="3" fontId="25" fillId="0" borderId="68" xfId="0" quotePrefix="1" applyNumberFormat="1" applyFont="1" applyBorder="1" applyAlignment="1" applyProtection="1">
      <alignment horizontal="right" vertical="center" wrapText="1"/>
    </xf>
    <xf numFmtId="3" fontId="25" fillId="0" borderId="21" xfId="0" quotePrefix="1" applyNumberFormat="1" applyFont="1" applyBorder="1" applyAlignment="1" applyProtection="1">
      <alignment horizontal="right" vertical="center" wrapText="1"/>
    </xf>
    <xf numFmtId="3" fontId="25" fillId="0" borderId="69" xfId="0" quotePrefix="1" applyNumberFormat="1" applyFont="1" applyBorder="1" applyAlignment="1" applyProtection="1">
      <alignment horizontal="right" vertical="center" wrapText="1"/>
    </xf>
    <xf numFmtId="3" fontId="25" fillId="0" borderId="21" xfId="0" quotePrefix="1" applyNumberFormat="1" applyFont="1" applyFill="1" applyBorder="1" applyAlignment="1" applyProtection="1">
      <alignment horizontal="right" vertical="center" wrapText="1"/>
    </xf>
    <xf numFmtId="3" fontId="25" fillId="0" borderId="69" xfId="0" quotePrefix="1" applyNumberFormat="1" applyFont="1" applyFill="1" applyBorder="1" applyAlignment="1" applyProtection="1">
      <alignment horizontal="right" vertical="center" wrapText="1"/>
    </xf>
    <xf numFmtId="3" fontId="25" fillId="3" borderId="21" xfId="0" quotePrefix="1" applyNumberFormat="1" applyFont="1" applyFill="1" applyBorder="1" applyAlignment="1" applyProtection="1">
      <alignment horizontal="right" vertical="center" wrapText="1"/>
    </xf>
    <xf numFmtId="167" fontId="25" fillId="0" borderId="72" xfId="0" quotePrefix="1" applyNumberFormat="1" applyFont="1" applyBorder="1" applyAlignment="1" applyProtection="1">
      <alignment horizontal="left" vertical="center" indent="1"/>
    </xf>
    <xf numFmtId="2" fontId="24" fillId="0" borderId="0" xfId="0" applyNumberFormat="1" applyFont="1" applyBorder="1" applyAlignment="1">
      <alignment wrapText="1"/>
    </xf>
    <xf numFmtId="1" fontId="24" fillId="0" borderId="19" xfId="0" quotePrefix="1" applyNumberFormat="1" applyFont="1" applyFill="1" applyBorder="1" applyAlignment="1" applyProtection="1">
      <alignment horizontal="right" vertical="center" wrapText="1"/>
    </xf>
    <xf numFmtId="1" fontId="24" fillId="0" borderId="24" xfId="0" quotePrefix="1" applyNumberFormat="1" applyFont="1" applyFill="1" applyBorder="1" applyAlignment="1" applyProtection="1">
      <alignment horizontal="right" vertical="center" wrapText="1"/>
    </xf>
    <xf numFmtId="3" fontId="26" fillId="0" borderId="0" xfId="0" applyNumberFormat="1" applyFont="1" applyAlignment="1">
      <alignment vertical="center"/>
    </xf>
    <xf numFmtId="10" fontId="24" fillId="3" borderId="19" xfId="2" applyNumberFormat="1" applyFont="1" applyFill="1" applyBorder="1" applyAlignment="1">
      <alignment vertical="center"/>
    </xf>
    <xf numFmtId="2" fontId="24" fillId="0" borderId="20" xfId="0" applyNumberFormat="1" applyFont="1" applyFill="1" applyBorder="1" applyAlignment="1">
      <alignment horizontal="right" wrapText="1"/>
    </xf>
    <xf numFmtId="0" fontId="4" fillId="0" borderId="10" xfId="0" applyFont="1" applyFill="1" applyBorder="1" applyAlignment="1">
      <alignment horizontal="right" vertical="center" indent="1"/>
    </xf>
    <xf numFmtId="0" fontId="0" fillId="0" borderId="0" xfId="0" applyAlignment="1">
      <alignment vertical="top" wrapText="1"/>
    </xf>
    <xf numFmtId="0" fontId="3" fillId="0" borderId="0" xfId="0" applyFont="1" applyAlignment="1">
      <alignment vertical="top"/>
    </xf>
    <xf numFmtId="0" fontId="0" fillId="0" borderId="0" xfId="0" applyAlignment="1">
      <alignment vertical="top"/>
    </xf>
    <xf numFmtId="0" fontId="3" fillId="0" borderId="0" xfId="0" applyFont="1" applyAlignment="1">
      <alignment vertical="top" wrapText="1"/>
    </xf>
    <xf numFmtId="0" fontId="5" fillId="0" borderId="0" xfId="1" applyFont="1" applyAlignment="1"/>
    <xf numFmtId="164" fontId="18" fillId="0" borderId="49" xfId="0" applyNumberFormat="1" applyFont="1" applyFill="1" applyBorder="1" applyAlignment="1">
      <alignment horizontal="right" vertical="center" indent="1"/>
    </xf>
    <xf numFmtId="164" fontId="18" fillId="0" borderId="66" xfId="0" applyNumberFormat="1" applyFont="1" applyFill="1" applyBorder="1" applyAlignment="1">
      <alignment horizontal="right" vertical="center" indent="1"/>
    </xf>
    <xf numFmtId="164" fontId="18" fillId="3" borderId="49" xfId="0" applyNumberFormat="1" applyFont="1" applyFill="1" applyBorder="1" applyAlignment="1">
      <alignment horizontal="right" vertical="center" indent="1"/>
    </xf>
    <xf numFmtId="164" fontId="18" fillId="3" borderId="66" xfId="0" applyNumberFormat="1" applyFont="1" applyFill="1" applyBorder="1" applyAlignment="1">
      <alignment horizontal="right" vertical="center" indent="1"/>
    </xf>
    <xf numFmtId="164" fontId="18" fillId="3" borderId="24" xfId="0" applyNumberFormat="1" applyFont="1" applyFill="1" applyBorder="1" applyAlignment="1">
      <alignment horizontal="right" vertical="center" indent="1"/>
    </xf>
    <xf numFmtId="164" fontId="3" fillId="0" borderId="2" xfId="0" applyNumberFormat="1" applyFont="1" applyFill="1" applyBorder="1" applyAlignment="1">
      <alignment horizontal="right" vertical="center" indent="1"/>
    </xf>
    <xf numFmtId="164" fontId="18" fillId="0" borderId="2" xfId="0" applyNumberFormat="1" applyFont="1" applyFill="1" applyBorder="1" applyAlignment="1">
      <alignment horizontal="right" vertical="center" indent="1"/>
    </xf>
    <xf numFmtId="164" fontId="18" fillId="0" borderId="24" xfId="0" applyNumberFormat="1" applyFont="1" applyFill="1" applyBorder="1" applyAlignment="1">
      <alignment horizontal="right" vertical="center" indent="1"/>
    </xf>
    <xf numFmtId="164" fontId="5" fillId="0" borderId="24" xfId="0" applyNumberFormat="1" applyFont="1" applyFill="1" applyBorder="1" applyAlignment="1">
      <alignment horizontal="right" vertical="center" indent="1"/>
    </xf>
    <xf numFmtId="164" fontId="5" fillId="0" borderId="25" xfId="0" applyNumberFormat="1" applyFont="1" applyFill="1" applyBorder="1" applyAlignment="1">
      <alignment horizontal="right" vertical="center" indent="1"/>
    </xf>
    <xf numFmtId="164" fontId="5" fillId="3" borderId="25" xfId="0" applyNumberFormat="1" applyFont="1" applyFill="1" applyBorder="1" applyAlignment="1">
      <alignment horizontal="right" vertical="center" indent="1"/>
    </xf>
    <xf numFmtId="164" fontId="18" fillId="0" borderId="78" xfId="0" applyNumberFormat="1" applyFont="1" applyFill="1" applyBorder="1" applyAlignment="1">
      <alignment horizontal="left" vertical="center" indent="1"/>
    </xf>
    <xf numFmtId="164" fontId="18" fillId="0" borderId="24" xfId="0" applyNumberFormat="1" applyFont="1" applyFill="1" applyBorder="1" applyAlignment="1">
      <alignment horizontal="left" vertical="center" indent="1"/>
    </xf>
    <xf numFmtId="164" fontId="18" fillId="0" borderId="18" xfId="0" applyNumberFormat="1" applyFont="1" applyFill="1" applyBorder="1" applyAlignment="1">
      <alignment horizontal="left" vertical="center" indent="1"/>
    </xf>
    <xf numFmtId="166" fontId="18" fillId="0" borderId="18" xfId="2" applyNumberFormat="1" applyFont="1" applyFill="1" applyBorder="1" applyAlignment="1">
      <alignment horizontal="left" vertical="center" indent="1"/>
    </xf>
    <xf numFmtId="164" fontId="18" fillId="3" borderId="78" xfId="0" applyNumberFormat="1" applyFont="1" applyFill="1" applyBorder="1" applyAlignment="1">
      <alignment horizontal="left" vertical="center" indent="1"/>
    </xf>
    <xf numFmtId="164" fontId="18" fillId="3" borderId="24" xfId="0" applyNumberFormat="1" applyFont="1" applyFill="1" applyBorder="1" applyAlignment="1">
      <alignment horizontal="left" vertical="center" indent="1"/>
    </xf>
    <xf numFmtId="164" fontId="18" fillId="3" borderId="18" xfId="0" applyNumberFormat="1" applyFont="1" applyFill="1" applyBorder="1" applyAlignment="1">
      <alignment horizontal="left" vertical="center" indent="1"/>
    </xf>
    <xf numFmtId="166" fontId="18" fillId="3" borderId="18" xfId="2" applyNumberFormat="1" applyFont="1" applyFill="1" applyBorder="1" applyAlignment="1">
      <alignment horizontal="left" vertical="center" indent="1"/>
    </xf>
    <xf numFmtId="0" fontId="6" fillId="0" borderId="59" xfId="0" applyFont="1" applyFill="1" applyBorder="1" applyAlignment="1">
      <alignment horizontal="left" vertical="center" indent="1"/>
    </xf>
    <xf numFmtId="0" fontId="6" fillId="0" borderId="10" xfId="0" applyFont="1" applyFill="1" applyBorder="1" applyAlignment="1">
      <alignment horizontal="left" vertical="center" indent="1"/>
    </xf>
    <xf numFmtId="0" fontId="6" fillId="3" borderId="10" xfId="0" applyFont="1" applyFill="1" applyBorder="1" applyAlignment="1">
      <alignment horizontal="left" vertical="center" indent="1"/>
    </xf>
    <xf numFmtId="164" fontId="5" fillId="0" borderId="48" xfId="0" applyNumberFormat="1" applyFont="1" applyFill="1" applyBorder="1" applyAlignment="1">
      <alignment horizontal="left" vertical="center" indent="1"/>
    </xf>
    <xf numFmtId="164" fontId="5" fillId="0" borderId="49" xfId="0" applyNumberFormat="1" applyFont="1" applyFill="1" applyBorder="1" applyAlignment="1">
      <alignment horizontal="left" vertical="center" indent="1"/>
    </xf>
    <xf numFmtId="164" fontId="5" fillId="0" borderId="50" xfId="0" applyNumberFormat="1" applyFont="1" applyFill="1" applyBorder="1" applyAlignment="1">
      <alignment horizontal="left" vertical="center" indent="1"/>
    </xf>
    <xf numFmtId="164" fontId="5" fillId="4" borderId="47" xfId="0" applyNumberFormat="1" applyFont="1" applyFill="1" applyBorder="1" applyAlignment="1">
      <alignment horizontal="left" vertical="center" indent="1"/>
    </xf>
    <xf numFmtId="166" fontId="5" fillId="0" borderId="50" xfId="2" applyNumberFormat="1" applyFont="1" applyFill="1" applyBorder="1" applyAlignment="1">
      <alignment horizontal="left" vertical="center" indent="1"/>
    </xf>
    <xf numFmtId="164" fontId="3" fillId="0" borderId="30" xfId="0" applyNumberFormat="1" applyFont="1" applyFill="1" applyBorder="1" applyAlignment="1">
      <alignment horizontal="left" vertical="center" indent="1"/>
    </xf>
    <xf numFmtId="164" fontId="3" fillId="3" borderId="60" xfId="0" applyNumberFormat="1" applyFont="1" applyFill="1" applyBorder="1" applyAlignment="1">
      <alignment horizontal="left" vertical="center" indent="1"/>
    </xf>
    <xf numFmtId="164" fontId="5" fillId="4" borderId="11" xfId="0" applyNumberFormat="1" applyFont="1" applyFill="1" applyBorder="1" applyAlignment="1">
      <alignment horizontal="left" vertical="center" indent="1"/>
    </xf>
    <xf numFmtId="164" fontId="18" fillId="0" borderId="59" xfId="0" applyNumberFormat="1" applyFont="1" applyFill="1" applyBorder="1" applyAlignment="1">
      <alignment horizontal="right" indent="1"/>
    </xf>
    <xf numFmtId="164" fontId="18" fillId="0" borderId="47" xfId="0" applyNumberFormat="1" applyFont="1" applyFill="1" applyBorder="1" applyAlignment="1">
      <alignment horizontal="right" indent="1"/>
    </xf>
    <xf numFmtId="166" fontId="18" fillId="3" borderId="60" xfId="0" applyNumberFormat="1" applyFont="1" applyFill="1" applyBorder="1" applyAlignment="1">
      <alignment horizontal="right" indent="1"/>
    </xf>
    <xf numFmtId="164" fontId="3" fillId="0" borderId="59" xfId="0" applyNumberFormat="1" applyFont="1" applyFill="1" applyBorder="1" applyAlignment="1">
      <alignment horizontal="right" indent="1"/>
    </xf>
    <xf numFmtId="166" fontId="3" fillId="3" borderId="60" xfId="0" applyNumberFormat="1" applyFont="1" applyFill="1" applyBorder="1" applyAlignment="1">
      <alignment horizontal="right" indent="1"/>
    </xf>
    <xf numFmtId="165" fontId="3" fillId="0" borderId="59" xfId="0" applyNumberFormat="1" applyFont="1" applyFill="1" applyBorder="1" applyAlignment="1">
      <alignment horizontal="right" indent="1"/>
    </xf>
    <xf numFmtId="165" fontId="3" fillId="0" borderId="50" xfId="0" applyNumberFormat="1" applyFont="1" applyFill="1" applyBorder="1" applyAlignment="1">
      <alignment horizontal="right" indent="1"/>
    </xf>
    <xf numFmtId="165" fontId="5" fillId="8" borderId="0" xfId="0" applyNumberFormat="1" applyFont="1" applyFill="1" applyAlignment="1">
      <alignment horizontal="left"/>
    </xf>
    <xf numFmtId="0" fontId="5" fillId="8" borderId="0" xfId="0" applyFont="1" applyFill="1"/>
    <xf numFmtId="164" fontId="5" fillId="8" borderId="0" xfId="0" applyNumberFormat="1" applyFont="1" applyFill="1"/>
    <xf numFmtId="164" fontId="5" fillId="8" borderId="0" xfId="0" applyNumberFormat="1" applyFont="1" applyFill="1" applyAlignment="1">
      <alignment horizontal="right"/>
    </xf>
    <xf numFmtId="0" fontId="5" fillId="8" borderId="0" xfId="0" applyFont="1" applyFill="1" applyAlignment="1">
      <alignment horizontal="right"/>
    </xf>
    <xf numFmtId="164" fontId="18" fillId="0" borderId="11" xfId="0" applyNumberFormat="1" applyFont="1" applyFill="1" applyBorder="1" applyAlignment="1">
      <alignment horizontal="right" indent="1"/>
    </xf>
    <xf numFmtId="0" fontId="4" fillId="0" borderId="6" xfId="0" applyFont="1" applyBorder="1" applyAlignment="1">
      <alignment horizontal="right"/>
    </xf>
    <xf numFmtId="164" fontId="18" fillId="0" borderId="42" xfId="0" applyNumberFormat="1" applyFont="1" applyFill="1" applyBorder="1" applyAlignment="1">
      <alignment horizontal="right" indent="1"/>
    </xf>
    <xf numFmtId="164" fontId="3" fillId="0" borderId="10" xfId="0" applyNumberFormat="1" applyFont="1" applyFill="1" applyBorder="1" applyAlignment="1">
      <alignment horizontal="right" indent="1"/>
    </xf>
    <xf numFmtId="164" fontId="3" fillId="0" borderId="11" xfId="0" applyNumberFormat="1" applyFont="1" applyFill="1" applyBorder="1" applyAlignment="1">
      <alignment horizontal="right" indent="1"/>
    </xf>
    <xf numFmtId="0" fontId="4" fillId="0" borderId="73" xfId="0" applyFont="1" applyBorder="1" applyAlignment="1">
      <alignment horizontal="right"/>
    </xf>
    <xf numFmtId="164" fontId="3" fillId="0" borderId="55" xfId="0" applyNumberFormat="1" applyFont="1" applyFill="1" applyBorder="1" applyAlignment="1">
      <alignment horizontal="right" indent="1"/>
    </xf>
    <xf numFmtId="164" fontId="3" fillId="3" borderId="12" xfId="0" applyNumberFormat="1" applyFont="1" applyFill="1" applyBorder="1" applyAlignment="1">
      <alignment horizontal="right" indent="1"/>
    </xf>
    <xf numFmtId="164" fontId="3" fillId="3" borderId="56" xfId="0" applyNumberFormat="1" applyFont="1" applyFill="1" applyBorder="1" applyAlignment="1">
      <alignment horizontal="right" indent="1"/>
    </xf>
    <xf numFmtId="164" fontId="5" fillId="2" borderId="10" xfId="0" applyNumberFormat="1" applyFont="1" applyFill="1" applyBorder="1" applyAlignment="1">
      <alignment horizontal="right" indent="1"/>
    </xf>
    <xf numFmtId="164" fontId="5" fillId="2" borderId="11" xfId="0" applyNumberFormat="1" applyFont="1" applyFill="1" applyBorder="1" applyAlignment="1">
      <alignment horizontal="right" indent="1"/>
    </xf>
    <xf numFmtId="164" fontId="5" fillId="2" borderId="12" xfId="0" applyNumberFormat="1" applyFont="1" applyFill="1" applyBorder="1" applyAlignment="1">
      <alignment horizontal="right" indent="1"/>
    </xf>
    <xf numFmtId="169" fontId="5" fillId="0" borderId="0" xfId="0" applyNumberFormat="1" applyFont="1"/>
    <xf numFmtId="164" fontId="3" fillId="2" borderId="11" xfId="0" applyNumberFormat="1" applyFont="1" applyFill="1" applyBorder="1" applyAlignment="1">
      <alignment horizontal="right" indent="1"/>
    </xf>
    <xf numFmtId="164" fontId="3" fillId="0" borderId="12" xfId="0" applyNumberFormat="1" applyFont="1" applyFill="1" applyBorder="1" applyAlignment="1">
      <alignment horizontal="right" indent="1"/>
    </xf>
    <xf numFmtId="0" fontId="4" fillId="0" borderId="75" xfId="0" applyFont="1" applyFill="1" applyBorder="1" applyAlignment="1">
      <alignment horizontal="right"/>
    </xf>
    <xf numFmtId="3" fontId="18" fillId="0" borderId="47" xfId="0" applyNumberFormat="1" applyFont="1" applyFill="1" applyBorder="1" applyAlignment="1">
      <alignment horizontal="right" indent="1"/>
    </xf>
    <xf numFmtId="3" fontId="3" fillId="0" borderId="36" xfId="0" applyNumberFormat="1" applyFont="1" applyFill="1" applyBorder="1" applyAlignment="1">
      <alignment horizontal="right" indent="1"/>
    </xf>
    <xf numFmtId="0" fontId="4" fillId="0" borderId="74" xfId="0" applyFont="1" applyFill="1" applyBorder="1" applyAlignment="1">
      <alignment horizontal="right"/>
    </xf>
    <xf numFmtId="164" fontId="5" fillId="0" borderId="28" xfId="0" applyNumberFormat="1" applyFont="1" applyFill="1" applyBorder="1" applyAlignment="1">
      <alignment horizontal="right" indent="1"/>
    </xf>
    <xf numFmtId="164" fontId="18" fillId="0" borderId="71" xfId="0" applyNumberFormat="1" applyFont="1" applyFill="1" applyBorder="1" applyAlignment="1">
      <alignment horizontal="right" indent="1"/>
    </xf>
    <xf numFmtId="164" fontId="18" fillId="0" borderId="36" xfId="0" applyNumberFormat="1" applyFont="1" applyFill="1" applyBorder="1" applyAlignment="1">
      <alignment horizontal="right" indent="1"/>
    </xf>
    <xf numFmtId="166" fontId="18" fillId="3" borderId="70" xfId="0" applyNumberFormat="1" applyFont="1" applyFill="1" applyBorder="1" applyAlignment="1">
      <alignment horizontal="right" indent="1"/>
    </xf>
    <xf numFmtId="165" fontId="3" fillId="0" borderId="71" xfId="0" applyNumberFormat="1" applyFont="1" applyFill="1" applyBorder="1" applyAlignment="1">
      <alignment horizontal="right" indent="1"/>
    </xf>
    <xf numFmtId="165" fontId="3" fillId="0" borderId="41" xfId="0" applyNumberFormat="1" applyFont="1" applyFill="1" applyBorder="1" applyAlignment="1">
      <alignment horizontal="right" indent="1"/>
    </xf>
    <xf numFmtId="164" fontId="18" fillId="0" borderId="28" xfId="0" applyNumberFormat="1" applyFont="1" applyFill="1" applyBorder="1" applyAlignment="1">
      <alignment horizontal="right" indent="1"/>
    </xf>
    <xf numFmtId="164" fontId="18" fillId="0" borderId="29" xfId="0" applyNumberFormat="1" applyFont="1" applyFill="1" applyBorder="1" applyAlignment="1">
      <alignment horizontal="right" indent="1"/>
    </xf>
    <xf numFmtId="3" fontId="18" fillId="0" borderId="29" xfId="0" applyNumberFormat="1" applyFont="1" applyFill="1" applyBorder="1" applyAlignment="1">
      <alignment horizontal="right" indent="1"/>
    </xf>
    <xf numFmtId="164" fontId="5" fillId="0" borderId="65" xfId="0" applyNumberFormat="1" applyFont="1" applyFill="1" applyBorder="1" applyAlignment="1">
      <alignment horizontal="right" indent="1"/>
    </xf>
    <xf numFmtId="0" fontId="6" fillId="0" borderId="7" xfId="0" applyFont="1" applyFill="1" applyBorder="1" applyAlignment="1">
      <alignment horizontal="right" vertical="center"/>
    </xf>
    <xf numFmtId="164" fontId="18" fillId="0" borderId="46" xfId="0" applyNumberFormat="1" applyFont="1" applyFill="1" applyBorder="1" applyAlignment="1">
      <alignment horizontal="right" vertical="center" indent="1"/>
    </xf>
    <xf numFmtId="164" fontId="18" fillId="0" borderId="0" xfId="0" applyNumberFormat="1" applyFont="1" applyFill="1" applyBorder="1" applyAlignment="1">
      <alignment horizontal="right" vertical="center" indent="1"/>
    </xf>
    <xf numFmtId="164" fontId="18" fillId="0" borderId="17" xfId="0" applyNumberFormat="1" applyFont="1" applyFill="1" applyBorder="1" applyAlignment="1">
      <alignment horizontal="right" vertical="center" indent="1"/>
    </xf>
    <xf numFmtId="166" fontId="18" fillId="0" borderId="17" xfId="2" applyNumberFormat="1" applyFont="1" applyFill="1" applyBorder="1" applyAlignment="1">
      <alignment horizontal="right" vertical="center" indent="1"/>
    </xf>
    <xf numFmtId="164" fontId="18" fillId="3" borderId="80" xfId="0" applyNumberFormat="1" applyFont="1" applyFill="1" applyBorder="1" applyAlignment="1">
      <alignment horizontal="right" vertical="center" indent="1"/>
    </xf>
    <xf numFmtId="164" fontId="18" fillId="3" borderId="2" xfId="0" applyNumberFormat="1" applyFont="1" applyFill="1" applyBorder="1" applyAlignment="1">
      <alignment horizontal="right" vertical="center" indent="1"/>
    </xf>
    <xf numFmtId="164" fontId="18" fillId="3" borderId="16" xfId="0" applyNumberFormat="1" applyFont="1" applyFill="1" applyBorder="1" applyAlignment="1">
      <alignment horizontal="right" vertical="center" indent="1"/>
    </xf>
    <xf numFmtId="166" fontId="18" fillId="3" borderId="16" xfId="2" applyNumberFormat="1" applyFont="1" applyFill="1" applyBorder="1" applyAlignment="1">
      <alignment horizontal="right" vertical="center" indent="1"/>
    </xf>
    <xf numFmtId="164" fontId="3" fillId="0" borderId="46" xfId="0" applyNumberFormat="1" applyFont="1" applyFill="1" applyBorder="1" applyAlignment="1">
      <alignment horizontal="right" vertical="center" indent="1"/>
    </xf>
    <xf numFmtId="164" fontId="3" fillId="3" borderId="80" xfId="0" applyNumberFormat="1" applyFont="1" applyFill="1" applyBorder="1" applyAlignment="1">
      <alignment horizontal="right" vertical="center" indent="1"/>
    </xf>
    <xf numFmtId="164" fontId="3" fillId="4" borderId="17" xfId="0" applyNumberFormat="1" applyFont="1" applyFill="1" applyBorder="1" applyAlignment="1">
      <alignment horizontal="right" vertical="center" indent="1"/>
    </xf>
    <xf numFmtId="164" fontId="3" fillId="4" borderId="16" xfId="0" applyNumberFormat="1" applyFont="1" applyFill="1" applyBorder="1" applyAlignment="1">
      <alignment horizontal="right" vertical="center" indent="1"/>
    </xf>
    <xf numFmtId="164" fontId="40" fillId="0" borderId="46" xfId="0" applyNumberFormat="1" applyFont="1" applyFill="1" applyBorder="1" applyAlignment="1">
      <alignment horizontal="right" vertical="center" indent="1"/>
    </xf>
    <xf numFmtId="164" fontId="40" fillId="3" borderId="80" xfId="0" applyNumberFormat="1" applyFont="1" applyFill="1" applyBorder="1" applyAlignment="1">
      <alignment horizontal="right" vertical="center" indent="1"/>
    </xf>
    <xf numFmtId="164" fontId="3" fillId="3" borderId="2" xfId="0" applyNumberFormat="1" applyFont="1" applyFill="1" applyBorder="1" applyAlignment="1">
      <alignment horizontal="right" vertical="center" indent="1"/>
    </xf>
    <xf numFmtId="0" fontId="0" fillId="3" borderId="15" xfId="0" applyFont="1" applyFill="1" applyBorder="1"/>
    <xf numFmtId="164" fontId="49" fillId="0" borderId="19" xfId="4" applyNumberFormat="1" applyFont="1" applyFill="1" applyBorder="1" applyAlignment="1" applyProtection="1">
      <alignment horizontal="right" vertical="center"/>
      <protection locked="0"/>
    </xf>
    <xf numFmtId="164" fontId="49" fillId="3" borderId="64" xfId="4" applyNumberFormat="1" applyFont="1" applyFill="1" applyBorder="1" applyAlignment="1" applyProtection="1">
      <alignment horizontal="right" vertical="center"/>
      <protection locked="0"/>
    </xf>
    <xf numFmtId="166" fontId="3" fillId="0" borderId="35" xfId="0" applyNumberFormat="1" applyFont="1" applyFill="1" applyBorder="1" applyAlignment="1">
      <alignment horizontal="right" vertical="center" indent="1"/>
    </xf>
    <xf numFmtId="166" fontId="3" fillId="3" borderId="18" xfId="0" applyNumberFormat="1" applyFont="1" applyFill="1" applyBorder="1" applyAlignment="1">
      <alignment horizontal="right" vertical="center" indent="1"/>
    </xf>
    <xf numFmtId="164" fontId="3" fillId="0" borderId="8" xfId="0" applyNumberFormat="1" applyFont="1" applyFill="1" applyBorder="1" applyAlignment="1">
      <alignment horizontal="right" indent="1"/>
    </xf>
    <xf numFmtId="166" fontId="5" fillId="3" borderId="52" xfId="0" applyNumberFormat="1" applyFont="1" applyFill="1" applyBorder="1" applyAlignment="1">
      <alignment horizontal="right" indent="1"/>
    </xf>
    <xf numFmtId="164" fontId="5" fillId="0" borderId="11" xfId="0" applyNumberFormat="1" applyFont="1" applyFill="1" applyBorder="1" applyAlignment="1">
      <alignment horizontal="right" indent="1"/>
    </xf>
    <xf numFmtId="166" fontId="5" fillId="3" borderId="12" xfId="0" applyNumberFormat="1" applyFont="1" applyFill="1" applyBorder="1" applyAlignment="1">
      <alignment horizontal="right" indent="1"/>
    </xf>
    <xf numFmtId="166" fontId="5" fillId="3" borderId="30" xfId="0" applyNumberFormat="1" applyFont="1" applyFill="1" applyBorder="1" applyAlignment="1">
      <alignment horizontal="right" indent="1"/>
    </xf>
    <xf numFmtId="3" fontId="18" fillId="3" borderId="30" xfId="0" applyNumberFormat="1" applyFont="1" applyFill="1" applyBorder="1" applyAlignment="1">
      <alignment horizontal="right" indent="1"/>
    </xf>
    <xf numFmtId="3" fontId="18" fillId="3" borderId="60" xfId="0" applyNumberFormat="1" applyFont="1" applyFill="1" applyBorder="1" applyAlignment="1">
      <alignment horizontal="right" indent="1"/>
    </xf>
    <xf numFmtId="164" fontId="5" fillId="0" borderId="35" xfId="0" applyNumberFormat="1" applyFont="1" applyFill="1" applyBorder="1" applyAlignment="1">
      <alignment horizontal="right" indent="1"/>
    </xf>
    <xf numFmtId="164" fontId="5" fillId="0" borderId="48" xfId="0" applyNumberFormat="1" applyFont="1" applyFill="1" applyBorder="1" applyAlignment="1">
      <alignment horizontal="right" indent="1"/>
    </xf>
    <xf numFmtId="164" fontId="5" fillId="0" borderId="50" xfId="0" applyNumberFormat="1" applyFont="1" applyFill="1" applyBorder="1" applyAlignment="1">
      <alignment horizontal="right" indent="1"/>
    </xf>
    <xf numFmtId="166" fontId="5" fillId="0" borderId="49" xfId="2" applyNumberFormat="1" applyFont="1" applyFill="1" applyBorder="1" applyAlignment="1">
      <alignment horizontal="right" indent="1"/>
    </xf>
    <xf numFmtId="164" fontId="5" fillId="0" borderId="43" xfId="0" applyNumberFormat="1" applyFont="1" applyFill="1" applyBorder="1" applyAlignment="1">
      <alignment horizontal="right" indent="1"/>
    </xf>
    <xf numFmtId="166" fontId="5" fillId="0" borderId="45" xfId="2" applyNumberFormat="1" applyFont="1" applyFill="1" applyBorder="1" applyAlignment="1">
      <alignment horizontal="right" indent="1"/>
    </xf>
    <xf numFmtId="0" fontId="3" fillId="0" borderId="0" xfId="0" applyFont="1" applyAlignment="1"/>
    <xf numFmtId="0" fontId="0" fillId="0" borderId="0" xfId="0" applyAlignment="1"/>
    <xf numFmtId="0" fontId="3" fillId="0" borderId="0" xfId="0" applyFont="1" applyAlignment="1">
      <alignment horizontal="center"/>
    </xf>
    <xf numFmtId="0" fontId="0" fillId="0" borderId="0" xfId="0" applyAlignment="1">
      <alignment horizontal="center"/>
    </xf>
    <xf numFmtId="0" fontId="3" fillId="0" borderId="0" xfId="0" applyFont="1" applyFill="1" applyAlignment="1">
      <alignment wrapText="1"/>
    </xf>
    <xf numFmtId="0" fontId="0" fillId="0" borderId="0" xfId="0" applyAlignment="1">
      <alignment wrapText="1"/>
    </xf>
    <xf numFmtId="0" fontId="5" fillId="0" borderId="0" xfId="1" applyFont="1" applyFill="1" applyAlignment="1">
      <alignment wrapText="1"/>
    </xf>
    <xf numFmtId="0" fontId="0" fillId="0" borderId="0" xfId="0" applyFill="1" applyAlignment="1">
      <alignment wrapText="1"/>
    </xf>
    <xf numFmtId="0" fontId="0" fillId="0" borderId="0" xfId="0" applyFill="1" applyAlignment="1"/>
    <xf numFmtId="0" fontId="17" fillId="0" borderId="0" xfId="0" applyFont="1" applyAlignment="1"/>
    <xf numFmtId="0" fontId="3" fillId="0" borderId="0" xfId="0" applyFont="1" applyFill="1" applyAlignment="1"/>
    <xf numFmtId="0" fontId="17" fillId="0" borderId="0" xfId="0" applyFont="1" applyAlignment="1">
      <alignment wrapText="1"/>
    </xf>
    <xf numFmtId="0" fontId="3" fillId="0" borderId="0" xfId="0" applyFont="1" applyAlignment="1">
      <alignment wrapText="1"/>
    </xf>
    <xf numFmtId="0" fontId="4" fillId="0" borderId="20" xfId="0" applyFont="1" applyBorder="1" applyAlignment="1">
      <alignment horizontal="center" wrapText="1"/>
    </xf>
    <xf numFmtId="0" fontId="0" fillId="0" borderId="27" xfId="0" applyBorder="1" applyAlignment="1">
      <alignment horizontal="center" wrapText="1"/>
    </xf>
    <xf numFmtId="0" fontId="0" fillId="0" borderId="20" xfId="0" applyBorder="1" applyAlignment="1">
      <alignment horizontal="center" wrapText="1"/>
    </xf>
    <xf numFmtId="0" fontId="3" fillId="0" borderId="0" xfId="0" applyFont="1" applyBorder="1" applyAlignment="1">
      <alignment vertical="top" wrapText="1"/>
    </xf>
    <xf numFmtId="0" fontId="0" fillId="0" borderId="0" xfId="0" applyBorder="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0" borderId="0" xfId="0" applyBorder="1" applyAlignment="1">
      <alignment wrapText="1"/>
    </xf>
    <xf numFmtId="0" fontId="4" fillId="0" borderId="43" xfId="0" applyFont="1" applyBorder="1" applyAlignment="1">
      <alignment horizontal="center"/>
    </xf>
    <xf numFmtId="0" fontId="15" fillId="0" borderId="44" xfId="0" applyFont="1" applyBorder="1" applyAlignment="1">
      <alignment horizontal="center"/>
    </xf>
    <xf numFmtId="0" fontId="15" fillId="0" borderId="45" xfId="0" applyFont="1" applyBorder="1" applyAlignment="1">
      <alignment horizontal="center"/>
    </xf>
    <xf numFmtId="0" fontId="0" fillId="0" borderId="45" xfId="0" applyBorder="1" applyAlignment="1">
      <alignment horizontal="center"/>
    </xf>
    <xf numFmtId="0" fontId="4" fillId="0" borderId="30" xfId="0" applyFont="1" applyBorder="1" applyAlignment="1">
      <alignment horizontal="right" wrapText="1"/>
    </xf>
    <xf numFmtId="0" fontId="0" fillId="0" borderId="9" xfId="0" applyBorder="1" applyAlignment="1">
      <alignment horizontal="right" wrapText="1"/>
    </xf>
    <xf numFmtId="0" fontId="3" fillId="0" borderId="0" xfId="0" applyFont="1" applyAlignment="1">
      <alignment vertical="top"/>
    </xf>
    <xf numFmtId="0" fontId="0" fillId="0" borderId="0" xfId="0" applyAlignment="1">
      <alignment vertical="top"/>
    </xf>
    <xf numFmtId="0" fontId="5" fillId="0" borderId="0" xfId="0" applyFont="1" applyFill="1" applyAlignment="1">
      <alignment vertical="top" wrapText="1"/>
    </xf>
    <xf numFmtId="0" fontId="7" fillId="0" borderId="0" xfId="0" applyFont="1" applyFill="1" applyAlignment="1">
      <alignment vertical="top" wrapText="1"/>
    </xf>
    <xf numFmtId="0" fontId="7" fillId="0" borderId="0" xfId="0" applyFont="1" applyFill="1" applyAlignment="1">
      <alignment vertical="top"/>
    </xf>
    <xf numFmtId="0" fontId="3" fillId="0" borderId="0" xfId="0" applyFont="1" applyAlignment="1">
      <alignment vertical="top" wrapText="1"/>
    </xf>
    <xf numFmtId="0" fontId="5" fillId="0" borderId="0" xfId="0" applyFont="1" applyFill="1" applyAlignment="1">
      <alignment wrapText="1"/>
    </xf>
    <xf numFmtId="0" fontId="7" fillId="0" borderId="0" xfId="0" applyFont="1" applyFill="1" applyAlignment="1">
      <alignment wrapTex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6" fillId="0" borderId="26" xfId="0" applyFont="1" applyBorder="1" applyAlignment="1">
      <alignment horizontal="left" vertical="center"/>
    </xf>
    <xf numFmtId="0" fontId="6" fillId="0" borderId="20" xfId="0" applyFont="1" applyBorder="1" applyAlignment="1">
      <alignment horizontal="lef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5" fillId="0" borderId="29" xfId="0" applyFont="1" applyBorder="1" applyAlignment="1">
      <alignment horizontal="left" vertical="center"/>
    </xf>
    <xf numFmtId="0" fontId="5" fillId="0" borderId="30" xfId="0" applyFont="1" applyBorder="1" applyAlignment="1">
      <alignment horizontal="left" vertical="center"/>
    </xf>
    <xf numFmtId="0" fontId="5" fillId="0" borderId="20" xfId="0" applyFont="1" applyBorder="1" applyAlignment="1">
      <alignment horizontal="left" vertical="center"/>
    </xf>
    <xf numFmtId="0" fontId="5" fillId="0" borderId="27" xfId="0" applyFont="1" applyBorder="1" applyAlignment="1">
      <alignment horizontal="left" vertical="center"/>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0" borderId="25" xfId="0" applyFont="1" applyBorder="1" applyAlignment="1">
      <alignment horizontal="left" vertical="top"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47" fillId="0" borderId="32" xfId="0" applyFont="1" applyBorder="1" applyAlignment="1">
      <alignment horizontal="left" vertical="top" wrapText="1"/>
    </xf>
    <xf numFmtId="0" fontId="47" fillId="0" borderId="0" xfId="0" applyFont="1" applyBorder="1" applyAlignment="1">
      <alignment horizontal="left" vertical="top" wrapText="1"/>
    </xf>
    <xf numFmtId="0" fontId="47" fillId="0" borderId="31" xfId="0" applyFont="1" applyBorder="1" applyAlignment="1">
      <alignment horizontal="left" vertical="top" wrapText="1"/>
    </xf>
    <xf numFmtId="0" fontId="7" fillId="0" borderId="24" xfId="0" applyFont="1" applyBorder="1" applyAlignment="1">
      <alignment horizontal="left" vertical="top" wrapText="1"/>
    </xf>
    <xf numFmtId="0" fontId="7" fillId="0" borderId="25" xfId="0" applyFont="1" applyBorder="1" applyAlignment="1">
      <alignment horizontal="left" vertical="top" wrapText="1"/>
    </xf>
    <xf numFmtId="0" fontId="5" fillId="0" borderId="10" xfId="0" applyFont="1" applyBorder="1" applyAlignment="1">
      <alignment horizontal="left" vertical="top"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7" fillId="0" borderId="20"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horizontal="left" vertical="top" wrapText="1"/>
    </xf>
    <xf numFmtId="0" fontId="7" fillId="0" borderId="31" xfId="0" applyFont="1" applyBorder="1" applyAlignment="1">
      <alignment horizontal="left" vertical="top" wrapText="1"/>
    </xf>
    <xf numFmtId="0" fontId="6" fillId="0" borderId="1" xfId="0" quotePrefix="1" applyFont="1" applyBorder="1" applyAlignment="1">
      <alignment horizontal="center" vertical="center"/>
    </xf>
    <xf numFmtId="0" fontId="7" fillId="0" borderId="2" xfId="0" applyFont="1" applyBorder="1" applyAlignment="1"/>
    <xf numFmtId="0" fontId="7" fillId="0" borderId="3" xfId="0" applyFont="1" applyBorder="1" applyAlignment="1"/>
    <xf numFmtId="0" fontId="6" fillId="0" borderId="4" xfId="0" applyFont="1" applyBorder="1" applyAlignment="1">
      <alignment horizontal="center" vertical="center" textRotation="90" wrapText="1"/>
    </xf>
    <xf numFmtId="0" fontId="46" fillId="0" borderId="5" xfId="0" applyFont="1" applyBorder="1" applyAlignment="1">
      <alignment horizontal="center" vertical="center" textRotation="90" wrapText="1"/>
    </xf>
    <xf numFmtId="0" fontId="46" fillId="0" borderId="6" xfId="0" applyFont="1" applyBorder="1" applyAlignment="1">
      <alignment horizontal="center" vertical="center" textRotation="90" wrapText="1"/>
    </xf>
    <xf numFmtId="0" fontId="47" fillId="0" borderId="32" xfId="0" applyFont="1" applyBorder="1" applyAlignment="1">
      <alignment horizontal="left" wrapText="1"/>
    </xf>
    <xf numFmtId="0" fontId="5" fillId="0" borderId="0" xfId="0" applyFont="1" applyBorder="1" applyAlignment="1">
      <alignment horizontal="left" wrapText="1"/>
    </xf>
    <xf numFmtId="0" fontId="5" fillId="0" borderId="31" xfId="0" applyFont="1" applyBorder="1" applyAlignment="1">
      <alignment horizontal="left" wrapText="1"/>
    </xf>
    <xf numFmtId="0" fontId="47" fillId="0" borderId="32" xfId="0" quotePrefix="1" applyFont="1" applyBorder="1" applyAlignment="1">
      <alignment horizontal="left" vertical="top" wrapText="1"/>
    </xf>
    <xf numFmtId="0" fontId="5" fillId="0" borderId="0" xfId="0" applyFont="1" applyAlignment="1">
      <alignment horizontal="left"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2" fontId="23" fillId="3" borderId="68" xfId="0" applyNumberFormat="1" applyFont="1" applyFill="1" applyBorder="1" applyAlignment="1">
      <alignment horizontal="center" wrapText="1"/>
    </xf>
    <xf numFmtId="2" fontId="23" fillId="3" borderId="21" xfId="0" applyNumberFormat="1" applyFont="1" applyFill="1" applyBorder="1" applyAlignment="1">
      <alignment horizontal="center" wrapText="1"/>
    </xf>
    <xf numFmtId="0" fontId="0" fillId="3" borderId="69" xfId="0" applyFill="1" applyBorder="1" applyAlignment="1">
      <alignment horizontal="center" wrapText="1"/>
    </xf>
    <xf numFmtId="10" fontId="24" fillId="3" borderId="63" xfId="2" applyNumberFormat="1" applyFont="1" applyFill="1" applyBorder="1" applyAlignment="1">
      <alignment horizontal="center" vertical="center"/>
    </xf>
    <xf numFmtId="10" fontId="24" fillId="3" borderId="19" xfId="2" applyNumberFormat="1" applyFont="1" applyFill="1" applyBorder="1" applyAlignment="1">
      <alignment horizontal="center" vertical="center"/>
    </xf>
    <xf numFmtId="0" fontId="0" fillId="3" borderId="64" xfId="0" applyFill="1" applyBorder="1" applyAlignment="1">
      <alignment horizontal="center" vertical="center"/>
    </xf>
    <xf numFmtId="0" fontId="25" fillId="0" borderId="0" xfId="1" applyFont="1" applyBorder="1" applyAlignment="1"/>
    <xf numFmtId="0" fontId="7" fillId="0" borderId="0" xfId="0" applyFont="1" applyBorder="1" applyAlignment="1"/>
    <xf numFmtId="2" fontId="23" fillId="0" borderId="68" xfId="0" applyNumberFormat="1" applyFont="1" applyFill="1" applyBorder="1" applyAlignment="1">
      <alignment horizontal="center" vertical="center" wrapText="1"/>
    </xf>
    <xf numFmtId="2" fontId="23" fillId="0" borderId="21" xfId="0" applyNumberFormat="1" applyFont="1" applyFill="1" applyBorder="1" applyAlignment="1">
      <alignment horizontal="center" vertical="center" wrapText="1"/>
    </xf>
    <xf numFmtId="0" fontId="0" fillId="0" borderId="69" xfId="0" applyFill="1" applyBorder="1" applyAlignment="1">
      <alignment horizontal="center" vertical="center" wrapText="1"/>
    </xf>
    <xf numFmtId="10" fontId="24" fillId="0" borderId="63" xfId="2" applyNumberFormat="1" applyFont="1" applyFill="1" applyBorder="1" applyAlignment="1">
      <alignment horizontal="center" vertical="center"/>
    </xf>
    <xf numFmtId="10" fontId="24" fillId="0" borderId="19" xfId="2" applyNumberFormat="1" applyFont="1" applyFill="1" applyBorder="1" applyAlignment="1">
      <alignment horizontal="center" vertical="center"/>
    </xf>
    <xf numFmtId="0" fontId="0" fillId="0" borderId="64" xfId="0" applyFill="1" applyBorder="1" applyAlignment="1">
      <alignment horizontal="center" vertical="center"/>
    </xf>
    <xf numFmtId="167" fontId="25" fillId="0" borderId="26" xfId="0" applyNumberFormat="1" applyFont="1" applyBorder="1" applyAlignment="1" applyProtection="1">
      <alignment horizontal="left" vertical="center" wrapText="1" indent="1"/>
    </xf>
    <xf numFmtId="0" fontId="0" fillId="8" borderId="32" xfId="0" applyFont="1" applyFill="1" applyBorder="1" applyAlignment="1">
      <alignment horizontal="left" vertical="center" wrapText="1" indent="1"/>
    </xf>
    <xf numFmtId="0" fontId="0" fillId="0" borderId="32" xfId="0" applyFont="1" applyBorder="1" applyAlignment="1">
      <alignment horizontal="left" vertical="center" wrapText="1" indent="1"/>
    </xf>
    <xf numFmtId="0" fontId="0" fillId="0" borderId="23" xfId="0" applyFont="1" applyBorder="1" applyAlignment="1">
      <alignment horizontal="left" vertical="center" wrapText="1" indent="1"/>
    </xf>
    <xf numFmtId="167" fontId="25" fillId="0" borderId="26" xfId="0" applyNumberFormat="1" applyFont="1" applyFill="1" applyBorder="1" applyAlignment="1" applyProtection="1">
      <alignment horizontal="left" vertical="center" wrapText="1" indent="1"/>
    </xf>
    <xf numFmtId="0" fontId="0" fillId="0" borderId="32" xfId="0" applyFont="1" applyFill="1" applyBorder="1" applyAlignment="1">
      <alignment horizontal="left" vertical="center" wrapText="1" indent="1"/>
    </xf>
    <xf numFmtId="0" fontId="0" fillId="0" borderId="23" xfId="0" applyFont="1" applyFill="1" applyBorder="1" applyAlignment="1">
      <alignment horizontal="left" vertical="center" wrapText="1" indent="1"/>
    </xf>
    <xf numFmtId="3" fontId="25" fillId="5" borderId="44" xfId="0" quotePrefix="1" applyNumberFormat="1" applyFont="1" applyFill="1" applyBorder="1" applyAlignment="1" applyProtection="1">
      <alignment horizontal="left" vertical="center" wrapText="1"/>
    </xf>
    <xf numFmtId="0" fontId="0" fillId="5" borderId="44" xfId="0" applyFont="1" applyFill="1" applyBorder="1" applyAlignment="1">
      <alignment horizontal="left" vertical="center" wrapText="1"/>
    </xf>
    <xf numFmtId="0" fontId="0" fillId="0" borderId="44" xfId="0" applyBorder="1" applyAlignment="1">
      <alignment horizontal="left" vertical="center" wrapText="1"/>
    </xf>
    <xf numFmtId="0" fontId="0" fillId="0" borderId="62" xfId="0" applyBorder="1" applyAlignment="1">
      <alignment horizontal="left" vertical="center" wrapText="1"/>
    </xf>
    <xf numFmtId="3" fontId="25" fillId="5" borderId="19" xfId="0" quotePrefix="1" applyNumberFormat="1" applyFont="1" applyFill="1" applyBorder="1" applyAlignment="1" applyProtection="1">
      <alignment horizontal="left" vertical="center" wrapText="1"/>
    </xf>
    <xf numFmtId="0" fontId="0" fillId="5" borderId="19" xfId="0" applyFill="1" applyBorder="1" applyAlignment="1">
      <alignment horizontal="left" vertical="center" wrapText="1"/>
    </xf>
    <xf numFmtId="0" fontId="0" fillId="0" borderId="19" xfId="0" applyBorder="1" applyAlignment="1">
      <alignment horizontal="left" vertical="center" wrapText="1"/>
    </xf>
    <xf numFmtId="0" fontId="0" fillId="0" borderId="64" xfId="0" applyBorder="1" applyAlignment="1">
      <alignment horizontal="left" vertical="center" wrapText="1"/>
    </xf>
    <xf numFmtId="3" fontId="25" fillId="4" borderId="49" xfId="0" quotePrefix="1" applyNumberFormat="1" applyFont="1" applyFill="1" applyBorder="1" applyAlignment="1" applyProtection="1">
      <alignment horizontal="left" vertical="center" wrapText="1"/>
    </xf>
    <xf numFmtId="0" fontId="0" fillId="4" borderId="49" xfId="0" applyFill="1" applyBorder="1" applyAlignment="1">
      <alignment horizontal="left" vertical="center" wrapText="1"/>
    </xf>
    <xf numFmtId="0" fontId="0" fillId="0" borderId="49" xfId="0" applyBorder="1" applyAlignment="1">
      <alignment horizontal="left" vertical="center" wrapText="1"/>
    </xf>
    <xf numFmtId="0" fontId="0" fillId="0" borderId="66" xfId="0" applyBorder="1" applyAlignment="1">
      <alignment horizontal="left" vertical="center" wrapText="1"/>
    </xf>
    <xf numFmtId="3" fontId="25" fillId="4" borderId="44" xfId="0" quotePrefix="1" applyNumberFormat="1" applyFont="1" applyFill="1" applyBorder="1" applyAlignment="1" applyProtection="1">
      <alignment horizontal="left" vertical="center" wrapText="1"/>
    </xf>
    <xf numFmtId="0" fontId="0" fillId="4" borderId="44" xfId="0" applyFont="1" applyFill="1" applyBorder="1" applyAlignment="1">
      <alignment horizontal="left" vertical="center" wrapText="1"/>
    </xf>
    <xf numFmtId="3" fontId="25" fillId="4" borderId="19" xfId="0" quotePrefix="1" applyNumberFormat="1" applyFont="1" applyFill="1" applyBorder="1" applyAlignment="1" applyProtection="1">
      <alignment horizontal="left" vertical="center" wrapText="1"/>
    </xf>
    <xf numFmtId="0" fontId="0" fillId="4" borderId="19" xfId="0" applyFill="1" applyBorder="1" applyAlignment="1">
      <alignment horizontal="left" vertical="center" wrapText="1"/>
    </xf>
    <xf numFmtId="3" fontId="25" fillId="5" borderId="49" xfId="0" quotePrefix="1" applyNumberFormat="1" applyFont="1" applyFill="1" applyBorder="1" applyAlignment="1" applyProtection="1">
      <alignment horizontal="left" vertical="center" wrapText="1"/>
    </xf>
    <xf numFmtId="0" fontId="0" fillId="5" borderId="49" xfId="0" applyFill="1" applyBorder="1" applyAlignment="1">
      <alignment horizontal="left" vertical="center" wrapText="1"/>
    </xf>
    <xf numFmtId="2" fontId="23" fillId="0" borderId="68" xfId="0" applyNumberFormat="1" applyFont="1" applyBorder="1" applyAlignment="1">
      <alignment horizontal="center" vertical="center" wrapText="1"/>
    </xf>
    <xf numFmtId="0" fontId="0" fillId="0" borderId="21" xfId="0" applyFont="1" applyBorder="1" applyAlignment="1">
      <alignment horizontal="center" vertical="center" wrapText="1"/>
    </xf>
    <xf numFmtId="0" fontId="0" fillId="0" borderId="69" xfId="0" applyFont="1" applyBorder="1" applyAlignment="1">
      <alignment horizontal="center" vertical="center" wrapText="1"/>
    </xf>
    <xf numFmtId="167" fontId="25" fillId="3" borderId="26" xfId="0" applyNumberFormat="1" applyFont="1" applyFill="1" applyBorder="1" applyAlignment="1" applyProtection="1">
      <alignment horizontal="left" vertical="center" wrapText="1" indent="1"/>
    </xf>
    <xf numFmtId="0" fontId="0" fillId="3" borderId="32" xfId="0" applyFont="1" applyFill="1" applyBorder="1" applyAlignment="1">
      <alignment horizontal="left" vertical="center" wrapText="1" indent="1"/>
    </xf>
    <xf numFmtId="0" fontId="0" fillId="3" borderId="23" xfId="0" applyFont="1" applyFill="1" applyBorder="1" applyAlignment="1">
      <alignment horizontal="left" vertical="center" wrapText="1" indent="1"/>
    </xf>
    <xf numFmtId="0" fontId="0" fillId="4" borderId="19" xfId="0" applyFont="1" applyFill="1" applyBorder="1" applyAlignment="1">
      <alignment horizontal="left" vertical="center" wrapText="1"/>
    </xf>
    <xf numFmtId="3" fontId="25" fillId="0" borderId="19" xfId="0" quotePrefix="1" applyNumberFormat="1" applyFont="1" applyFill="1" applyBorder="1" applyAlignment="1" applyProtection="1">
      <alignment horizontal="left" vertical="center" wrapText="1"/>
    </xf>
    <xf numFmtId="0" fontId="0" fillId="0" borderId="19" xfId="0" applyFont="1" applyFill="1" applyBorder="1" applyAlignment="1">
      <alignment horizontal="left" vertical="center" wrapText="1"/>
    </xf>
    <xf numFmtId="0" fontId="0" fillId="0" borderId="19" xfId="0" applyFill="1" applyBorder="1" applyAlignment="1">
      <alignment horizontal="left" vertical="center" wrapText="1"/>
    </xf>
    <xf numFmtId="0" fontId="0" fillId="0" borderId="64" xfId="0" applyFill="1" applyBorder="1" applyAlignment="1">
      <alignment horizontal="left" vertical="center" wrapText="1"/>
    </xf>
    <xf numFmtId="3" fontId="25" fillId="0" borderId="49" xfId="0" quotePrefix="1" applyNumberFormat="1" applyFont="1" applyFill="1" applyBorder="1" applyAlignment="1" applyProtection="1">
      <alignment horizontal="left" vertical="center" wrapText="1"/>
    </xf>
    <xf numFmtId="0" fontId="0" fillId="0" borderId="49" xfId="0" applyFont="1" applyFill="1" applyBorder="1" applyAlignment="1">
      <alignment horizontal="left" vertical="center" wrapText="1"/>
    </xf>
    <xf numFmtId="0" fontId="0" fillId="0" borderId="49" xfId="0" applyFill="1" applyBorder="1" applyAlignment="1">
      <alignment horizontal="left" vertical="center" wrapText="1"/>
    </xf>
    <xf numFmtId="0" fontId="0" fillId="0" borderId="66" xfId="0" applyFill="1" applyBorder="1" applyAlignment="1">
      <alignment horizontal="left" vertical="center" wrapText="1"/>
    </xf>
    <xf numFmtId="3" fontId="24" fillId="0" borderId="20" xfId="0" quotePrefix="1" applyNumberFormat="1" applyFont="1" applyBorder="1" applyAlignment="1" applyProtection="1">
      <alignment horizontal="left" vertical="center" wrapText="1"/>
    </xf>
    <xf numFmtId="0" fontId="0" fillId="0" borderId="20" xfId="0" applyBorder="1" applyAlignment="1">
      <alignment horizontal="left" vertical="center" wrapText="1"/>
    </xf>
    <xf numFmtId="0" fontId="0" fillId="0" borderId="27" xfId="0" applyBorder="1" applyAlignment="1">
      <alignment horizontal="left" vertical="center" wrapText="1"/>
    </xf>
    <xf numFmtId="0" fontId="0" fillId="4" borderId="49" xfId="0" applyFont="1" applyFill="1" applyBorder="1" applyAlignment="1">
      <alignment horizontal="left" vertical="center" wrapText="1"/>
    </xf>
    <xf numFmtId="3" fontId="25" fillId="4" borderId="20" xfId="0" quotePrefix="1" applyNumberFormat="1" applyFont="1" applyFill="1" applyBorder="1" applyAlignment="1" applyProtection="1">
      <alignment horizontal="left" vertical="center" wrapText="1"/>
    </xf>
    <xf numFmtId="0" fontId="0" fillId="4" borderId="20" xfId="0" applyFont="1" applyFill="1" applyBorder="1" applyAlignment="1">
      <alignment horizontal="left" vertical="center" wrapText="1"/>
    </xf>
    <xf numFmtId="164" fontId="4" fillId="0" borderId="53" xfId="0" applyNumberFormat="1" applyFont="1" applyBorder="1" applyAlignment="1">
      <alignment horizontal="center" wrapText="1"/>
    </xf>
    <xf numFmtId="0" fontId="0" fillId="0" borderId="20" xfId="0" applyBorder="1" applyAlignment="1">
      <alignment horizontal="center"/>
    </xf>
    <xf numFmtId="0" fontId="0" fillId="0" borderId="54" xfId="0" applyBorder="1" applyAlignment="1">
      <alignment horizontal="center"/>
    </xf>
    <xf numFmtId="164" fontId="4" fillId="0" borderId="20" xfId="0" applyNumberFormat="1" applyFont="1" applyBorder="1" applyAlignment="1">
      <alignment horizontal="center" wrapText="1"/>
    </xf>
    <xf numFmtId="0" fontId="11" fillId="0" borderId="0" xfId="1" applyFont="1" applyFill="1" applyBorder="1" applyAlignment="1">
      <alignment horizontal="left" wrapText="1"/>
    </xf>
    <xf numFmtId="0" fontId="0" fillId="0" borderId="0" xfId="0" applyFill="1" applyBorder="1" applyAlignment="1">
      <alignment horizontal="left" wrapText="1"/>
    </xf>
    <xf numFmtId="0" fontId="5" fillId="0" borderId="0" xfId="1" applyFont="1" applyAlignment="1"/>
    <xf numFmtId="0" fontId="4" fillId="0" borderId="53" xfId="0" applyFont="1" applyBorder="1" applyAlignment="1">
      <alignment horizontal="center"/>
    </xf>
    <xf numFmtId="0" fontId="15" fillId="0" borderId="20" xfId="0" applyFont="1" applyBorder="1" applyAlignment="1">
      <alignment horizontal="center"/>
    </xf>
    <xf numFmtId="0" fontId="15" fillId="0" borderId="54" xfId="0" applyFont="1" applyBorder="1" applyAlignment="1">
      <alignment horizontal="center"/>
    </xf>
    <xf numFmtId="0" fontId="7" fillId="0" borderId="0" xfId="0" applyFont="1" applyFill="1" applyBorder="1" applyAlignment="1">
      <alignment horizontal="left" wrapText="1"/>
    </xf>
    <xf numFmtId="164" fontId="41" fillId="0" borderId="40" xfId="0" applyNumberFormat="1" applyFont="1" applyFill="1" applyBorder="1" applyAlignment="1">
      <alignment horizontal="right" vertical="center" indent="1"/>
    </xf>
    <xf numFmtId="0" fontId="43" fillId="0" borderId="38" xfId="0" applyFont="1" applyFill="1" applyBorder="1" applyAlignment="1">
      <alignment horizontal="right" vertical="center" indent="1"/>
    </xf>
    <xf numFmtId="167" fontId="22" fillId="0" borderId="20" xfId="4" quotePrefix="1" applyNumberFormat="1" applyFont="1" applyFill="1" applyBorder="1" applyAlignment="1" applyProtection="1">
      <alignment horizontal="right" vertical="top" wrapText="1"/>
      <protection locked="0"/>
    </xf>
    <xf numFmtId="0" fontId="0" fillId="0" borderId="21" xfId="0" applyFill="1" applyBorder="1" applyAlignment="1">
      <alignment horizontal="right" vertical="top"/>
    </xf>
    <xf numFmtId="0" fontId="16" fillId="0" borderId="21" xfId="0" applyFont="1" applyFill="1" applyBorder="1" applyAlignment="1">
      <alignment horizontal="right" vertical="top"/>
    </xf>
    <xf numFmtId="0" fontId="2" fillId="0" borderId="0" xfId="4" applyFont="1" applyAlignment="1"/>
    <xf numFmtId="0" fontId="2" fillId="0" borderId="0" xfId="0" applyFont="1" applyAlignment="1"/>
    <xf numFmtId="0" fontId="23" fillId="0" borderId="0" xfId="4" applyFont="1" applyAlignment="1">
      <alignment wrapText="1"/>
    </xf>
    <xf numFmtId="0" fontId="23" fillId="0" borderId="0" xfId="0" applyFont="1" applyAlignment="1">
      <alignment wrapText="1"/>
    </xf>
    <xf numFmtId="167" fontId="22" fillId="0" borderId="20" xfId="4" quotePrefix="1" applyNumberFormat="1" applyFont="1" applyBorder="1" applyAlignment="1" applyProtection="1">
      <alignment horizontal="right" vertical="top" wrapText="1"/>
    </xf>
    <xf numFmtId="0" fontId="0" fillId="0" borderId="21" xfId="0" applyBorder="1" applyAlignment="1">
      <alignment horizontal="right" vertical="top"/>
    </xf>
    <xf numFmtId="167" fontId="24" fillId="0" borderId="20" xfId="4" quotePrefix="1" applyNumberFormat="1" applyFont="1" applyBorder="1" applyAlignment="1" applyProtection="1">
      <alignment horizontal="right" vertical="top" wrapText="1"/>
    </xf>
    <xf numFmtId="0" fontId="7" fillId="0" borderId="21" xfId="0" applyFont="1" applyBorder="1" applyAlignment="1">
      <alignment horizontal="right" vertical="top"/>
    </xf>
    <xf numFmtId="167" fontId="22" fillId="3" borderId="27" xfId="4" quotePrefix="1" applyNumberFormat="1" applyFont="1" applyFill="1" applyBorder="1" applyAlignment="1" applyProtection="1">
      <alignment horizontal="right" vertical="top" wrapText="1"/>
      <protection locked="0"/>
    </xf>
    <xf numFmtId="0" fontId="16" fillId="0" borderId="69" xfId="0" applyFont="1" applyBorder="1" applyAlignment="1">
      <alignment horizontal="right" vertical="top"/>
    </xf>
  </cellXfs>
  <cellStyles count="5">
    <cellStyle name="Link" xfId="3" builtinId="8"/>
    <cellStyle name="Prozent" xfId="2" builtinId="5"/>
    <cellStyle name="Standard" xfId="0" builtinId="0"/>
    <cellStyle name="Standard 2" xfId="1" xr:uid="{00000000-0005-0000-0000-000003000000}"/>
    <cellStyle name="Standard 3" xfId="4" xr:uid="{00000000-0005-0000-0000-000004000000}"/>
  </cellStyles>
  <dxfs count="0"/>
  <tableStyles count="0" defaultTableStyle="TableStyleMedium9" defaultPivotStyle="PivotStyleLight16"/>
  <colors>
    <mruColors>
      <color rgb="FFAAD7FF"/>
      <color rgb="FFC6EFCE"/>
      <color rgb="FFE6B8B7"/>
      <color rgb="FFC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FG/Department_Docs/2021%20Rechnung%20Botschaft/Tabellen/06%20Bericht%20der%20Regierung/3.0%20Frei%20verf&#252;gbares%20E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budget.gr.ch/DFG/Department_Docs/Archiv%202021%20Budget%20Botschaft/Tabellen/6%20Bericht%20der%20Regierung/6.2.2%20Personalaufw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ilanz"/>
      <sheetName val="Parameter"/>
      <sheetName val="Funktion"/>
      <sheetName val="Archiv Grunddaten"/>
    </sheetNames>
    <sheetDataSet>
      <sheetData sheetId="0"/>
      <sheetData sheetId="1">
        <row r="2">
          <cell r="B2">
            <v>1</v>
          </cell>
        </row>
        <row r="3">
          <cell r="B3">
            <v>2021</v>
          </cell>
        </row>
      </sheetData>
      <sheetData sheetId="2">
        <row r="29">
          <cell r="B29" t="str">
            <v>20 Fremdkapital (FK)</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ucktabelle Personalaufwand"/>
      <sheetName val="Drucktabelle FP Richtwert Nr. 6"/>
      <sheetName val="Parameter"/>
      <sheetName val="Funktion"/>
      <sheetName val="manuelle Rechnung für Antragszi"/>
    </sheetNames>
    <sheetDataSet>
      <sheetData sheetId="0" refreshError="1"/>
      <sheetData sheetId="1" refreshError="1"/>
      <sheetData sheetId="2">
        <row r="3">
          <cell r="B3">
            <v>2021</v>
          </cell>
        </row>
      </sheetData>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intwww.gr.ch/DE/institutionen/verwaltung/dfg/ds/dokumentation/rechnungen/2021-2030/Seiten/Rechnung-2023.aspx" TargetMode="External"/><Relationship Id="rId2" Type="http://schemas.openxmlformats.org/officeDocument/2006/relationships/hyperlink" Target="https://intwww.gr.ch/DE/institutionen/verwaltung/dfg/ds/dokumentation/rechnungen/2021-2030/Seiten/Rechnung-2022.aspx" TargetMode="External"/><Relationship Id="rId1" Type="http://schemas.openxmlformats.org/officeDocument/2006/relationships/hyperlink" Target="https://intwww.gr.ch/DE/institutionen/verwaltung/dfg/ds/dokumentation/Rechnungen%20ab%202014/Jahresrechnung%202021.pdf" TargetMode="External"/><Relationship Id="rId5" Type="http://schemas.openxmlformats.org/officeDocument/2006/relationships/printerSettings" Target="../printerSettings/printerSettings8.bin"/><Relationship Id="rId4" Type="http://schemas.openxmlformats.org/officeDocument/2006/relationships/hyperlink" Target="https://intwww.gr.ch/DE/institutionen/verwaltung/dfg/ds/dokumentation/Budget%202015/Botschaft%20zum%20Budget%20202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46"/>
  <sheetViews>
    <sheetView tabSelected="1" view="pageBreakPreview" zoomScale="145" zoomScaleNormal="100" zoomScaleSheetLayoutView="145" workbookViewId="0">
      <pane ySplit="4" topLeftCell="A5" activePane="bottomLeft" state="frozen"/>
      <selection activeCell="N31" sqref="N31"/>
      <selection pane="bottomLeft" activeCell="A38" sqref="A38:Q38"/>
    </sheetView>
  </sheetViews>
  <sheetFormatPr baseColWidth="10" defaultColWidth="11.42578125" defaultRowHeight="12.75" x14ac:dyDescent="0.2"/>
  <cols>
    <col min="1" max="1" width="8.85546875" style="2" customWidth="1"/>
    <col min="2" max="4" width="8.140625" style="2" customWidth="1"/>
    <col min="5" max="8" width="11.28515625" style="2" customWidth="1"/>
    <col min="9" max="9" width="12.5703125" style="2" customWidth="1"/>
    <col min="10" max="10" width="11.140625" style="2" customWidth="1"/>
    <col min="11" max="11" width="11.5703125" style="2" customWidth="1"/>
    <col min="12" max="12" width="9" style="2" customWidth="1"/>
    <col min="13" max="13" width="8.42578125" style="2" customWidth="1"/>
    <col min="14" max="14" width="10.140625" style="2" customWidth="1"/>
    <col min="15" max="15" width="11.140625" style="2" customWidth="1"/>
    <col min="16" max="16" width="11.5703125" style="2" customWidth="1"/>
    <col min="17" max="17" width="42.28515625" style="2" customWidth="1"/>
    <col min="18" max="16384" width="11.42578125" style="2"/>
  </cols>
  <sheetData>
    <row r="1" spans="1:18" ht="15.75" x14ac:dyDescent="0.25">
      <c r="A1" s="1" t="s">
        <v>5</v>
      </c>
    </row>
    <row r="2" spans="1:18" ht="12.75" customHeight="1" x14ac:dyDescent="0.2">
      <c r="A2" s="2" t="s">
        <v>286</v>
      </c>
    </row>
    <row r="3" spans="1:18" x14ac:dyDescent="0.2">
      <c r="N3" s="845" t="s">
        <v>0</v>
      </c>
      <c r="O3" s="846"/>
    </row>
    <row r="4" spans="1:18" ht="26.25" customHeight="1" x14ac:dyDescent="0.2">
      <c r="A4" s="309" t="s">
        <v>4</v>
      </c>
      <c r="B4" s="68" t="s">
        <v>73</v>
      </c>
      <c r="C4" s="69" t="s">
        <v>74</v>
      </c>
      <c r="D4" s="70" t="s">
        <v>91</v>
      </c>
      <c r="E4" s="68" t="s">
        <v>75</v>
      </c>
      <c r="F4" s="69" t="s">
        <v>76</v>
      </c>
      <c r="G4" s="69" t="s">
        <v>92</v>
      </c>
      <c r="H4" s="69" t="s">
        <v>93</v>
      </c>
      <c r="I4" s="70" t="s">
        <v>94</v>
      </c>
      <c r="J4" s="68" t="s">
        <v>95</v>
      </c>
      <c r="K4" s="70" t="s">
        <v>96</v>
      </c>
      <c r="L4" s="12" t="s">
        <v>281</v>
      </c>
      <c r="M4" s="68" t="s">
        <v>282</v>
      </c>
      <c r="N4" s="69" t="s">
        <v>283</v>
      </c>
      <c r="O4" s="70" t="s">
        <v>284</v>
      </c>
      <c r="P4" s="244" t="s">
        <v>285</v>
      </c>
    </row>
    <row r="5" spans="1:18" s="4" customFormat="1" ht="17.25" customHeight="1" x14ac:dyDescent="0.2">
      <c r="A5" s="310" t="s">
        <v>111</v>
      </c>
      <c r="B5" s="314">
        <v>1760.9</v>
      </c>
      <c r="C5" s="315">
        <v>1755.8</v>
      </c>
      <c r="D5" s="316">
        <f t="shared" ref="D5:D26" si="0">C5-B5</f>
        <v>-5.1000000000001364</v>
      </c>
      <c r="E5" s="314">
        <v>347.7</v>
      </c>
      <c r="F5" s="315">
        <v>164.5</v>
      </c>
      <c r="G5" s="315">
        <f>E5-F5</f>
        <v>183.2</v>
      </c>
      <c r="H5" s="317">
        <v>160.89999999999998</v>
      </c>
      <c r="I5" s="316">
        <f>J5-H5</f>
        <v>-40.999999999999972</v>
      </c>
      <c r="J5" s="314">
        <v>119.9</v>
      </c>
      <c r="K5" s="318">
        <v>0.745</v>
      </c>
      <c r="L5" s="319">
        <f>1650.28-248.461-61.934</f>
        <v>1339.885</v>
      </c>
      <c r="M5" s="314">
        <v>584.96141</v>
      </c>
      <c r="N5" s="315">
        <v>251.37727100000001</v>
      </c>
      <c r="O5" s="316">
        <v>-39.040731000000001</v>
      </c>
      <c r="P5" s="320">
        <v>131</v>
      </c>
      <c r="Q5" s="37"/>
      <c r="R5" s="37"/>
    </row>
    <row r="6" spans="1:18" s="4" customFormat="1" ht="17.25" customHeight="1" x14ac:dyDescent="0.2">
      <c r="A6" s="311" t="s">
        <v>112</v>
      </c>
      <c r="B6" s="321">
        <v>1930.4</v>
      </c>
      <c r="C6" s="322">
        <v>1921.5</v>
      </c>
      <c r="D6" s="323">
        <f t="shared" si="0"/>
        <v>-8.9000000000000909</v>
      </c>
      <c r="E6" s="321">
        <v>410.2</v>
      </c>
      <c r="F6" s="322">
        <v>222.5</v>
      </c>
      <c r="G6" s="322">
        <f t="shared" ref="G6:G26" si="1">E6-F6</f>
        <v>187.7</v>
      </c>
      <c r="H6" s="324">
        <v>167</v>
      </c>
      <c r="I6" s="323">
        <f t="shared" ref="I6:I12" si="2">J6-H6</f>
        <v>-34.800000000000011</v>
      </c>
      <c r="J6" s="321">
        <v>132.19999999999999</v>
      </c>
      <c r="K6" s="325">
        <v>0.79200000000000004</v>
      </c>
      <c r="L6" s="326">
        <f>1854.131-366.639-110.972</f>
        <v>1376.5200000000002</v>
      </c>
      <c r="M6" s="321">
        <v>749.71997499999998</v>
      </c>
      <c r="N6" s="322">
        <v>305.006957</v>
      </c>
      <c r="O6" s="323">
        <v>-6.0885449999999999</v>
      </c>
      <c r="P6" s="327">
        <v>113.2</v>
      </c>
      <c r="Q6" s="37"/>
      <c r="R6" s="37"/>
    </row>
    <row r="7" spans="1:18" s="4" customFormat="1" ht="17.25" customHeight="1" x14ac:dyDescent="0.2">
      <c r="A7" s="311" t="s">
        <v>113</v>
      </c>
      <c r="B7" s="321">
        <v>1881</v>
      </c>
      <c r="C7" s="322">
        <v>1865.3</v>
      </c>
      <c r="D7" s="323">
        <f t="shared" si="0"/>
        <v>-15.700000000000045</v>
      </c>
      <c r="E7" s="321">
        <v>360.74099999999999</v>
      </c>
      <c r="F7" s="322">
        <v>202.18700000000001</v>
      </c>
      <c r="G7" s="322">
        <f>E7-F7</f>
        <v>158.55399999999997</v>
      </c>
      <c r="H7" s="324">
        <v>166.9</v>
      </c>
      <c r="I7" s="323">
        <f t="shared" si="2"/>
        <v>-54.5</v>
      </c>
      <c r="J7" s="321">
        <v>112.4</v>
      </c>
      <c r="K7" s="325">
        <v>0.67400000000000004</v>
      </c>
      <c r="L7" s="326">
        <v>1379.8</v>
      </c>
      <c r="M7" s="321">
        <v>790.03623400000004</v>
      </c>
      <c r="N7" s="322">
        <v>559.88204499999995</v>
      </c>
      <c r="O7" s="323">
        <v>49.487036000000003</v>
      </c>
      <c r="P7" s="327">
        <v>97.5</v>
      </c>
      <c r="Q7" s="37"/>
      <c r="R7" s="37"/>
    </row>
    <row r="8" spans="1:18" s="4" customFormat="1" ht="17.25" customHeight="1" x14ac:dyDescent="0.2">
      <c r="A8" s="312" t="s">
        <v>114</v>
      </c>
      <c r="B8" s="328">
        <v>1892.4</v>
      </c>
      <c r="C8" s="329">
        <v>1879.5</v>
      </c>
      <c r="D8" s="330">
        <f t="shared" si="0"/>
        <v>-12.900000000000091</v>
      </c>
      <c r="E8" s="328">
        <v>359.6</v>
      </c>
      <c r="F8" s="329">
        <v>221.5</v>
      </c>
      <c r="G8" s="329">
        <f t="shared" si="1"/>
        <v>138.10000000000002</v>
      </c>
      <c r="H8" s="331">
        <v>150.5</v>
      </c>
      <c r="I8" s="330">
        <f t="shared" si="2"/>
        <v>-17.800000000000011</v>
      </c>
      <c r="J8" s="328">
        <v>132.69999999999999</v>
      </c>
      <c r="K8" s="332">
        <v>0.88200000000000001</v>
      </c>
      <c r="L8" s="333">
        <f>1348.8+6.6</f>
        <v>1355.3999999999999</v>
      </c>
      <c r="M8" s="328">
        <v>818.12139300000001</v>
      </c>
      <c r="N8" s="329">
        <v>565.61642800000004</v>
      </c>
      <c r="O8" s="330">
        <v>75.352024999999998</v>
      </c>
      <c r="P8" s="334">
        <v>84.6</v>
      </c>
      <c r="Q8" s="37"/>
      <c r="R8" s="37"/>
    </row>
    <row r="9" spans="1:18" s="4" customFormat="1" ht="17.25" customHeight="1" x14ac:dyDescent="0.2">
      <c r="A9" s="310" t="s">
        <v>115</v>
      </c>
      <c r="B9" s="314">
        <v>1995.4</v>
      </c>
      <c r="C9" s="315">
        <v>1988.2</v>
      </c>
      <c r="D9" s="316">
        <f t="shared" si="0"/>
        <v>-7.2000000000000455</v>
      </c>
      <c r="E9" s="314">
        <v>333.5</v>
      </c>
      <c r="F9" s="315">
        <v>208.9</v>
      </c>
      <c r="G9" s="315">
        <f t="shared" si="1"/>
        <v>124.6</v>
      </c>
      <c r="H9" s="317">
        <v>145.06200000000001</v>
      </c>
      <c r="I9" s="335">
        <f t="shared" si="2"/>
        <v>0.25699999999997658</v>
      </c>
      <c r="J9" s="314">
        <v>145.31899999999999</v>
      </c>
      <c r="K9" s="318">
        <v>1.002</v>
      </c>
      <c r="L9" s="336">
        <f>1411.6+7.6</f>
        <v>1419.1999999999998</v>
      </c>
      <c r="M9" s="314">
        <v>822.79860399999995</v>
      </c>
      <c r="N9" s="315">
        <v>545.52622499999995</v>
      </c>
      <c r="O9" s="316">
        <v>80.333203999999995</v>
      </c>
      <c r="P9" s="320">
        <v>77.3</v>
      </c>
      <c r="Q9" s="37"/>
      <c r="R9" s="37"/>
    </row>
    <row r="10" spans="1:18" s="4" customFormat="1" ht="17.25" customHeight="1" x14ac:dyDescent="0.2">
      <c r="A10" s="311" t="s">
        <v>116</v>
      </c>
      <c r="B10" s="321">
        <v>2064.4</v>
      </c>
      <c r="C10" s="322">
        <v>2043</v>
      </c>
      <c r="D10" s="323">
        <f t="shared" si="0"/>
        <v>-21.400000000000091</v>
      </c>
      <c r="E10" s="321">
        <v>387.2</v>
      </c>
      <c r="F10" s="322">
        <v>239.7</v>
      </c>
      <c r="G10" s="322">
        <f t="shared" si="1"/>
        <v>147.5</v>
      </c>
      <c r="H10" s="324">
        <v>153.80000000000001</v>
      </c>
      <c r="I10" s="323">
        <f t="shared" si="2"/>
        <v>-38.200000000000017</v>
      </c>
      <c r="J10" s="321">
        <v>115.6</v>
      </c>
      <c r="K10" s="325">
        <v>0.752</v>
      </c>
      <c r="L10" s="326">
        <f>1513.8+8.1</f>
        <v>1521.8999999999999</v>
      </c>
      <c r="M10" s="321">
        <v>896.29847400000006</v>
      </c>
      <c r="N10" s="322">
        <v>578.14542500000005</v>
      </c>
      <c r="O10" s="323">
        <v>116.77009099999999</v>
      </c>
      <c r="P10" s="327">
        <v>56</v>
      </c>
      <c r="Q10" s="37"/>
      <c r="R10" s="37"/>
    </row>
    <row r="11" spans="1:18" s="4" customFormat="1" ht="17.25" customHeight="1" x14ac:dyDescent="0.2">
      <c r="A11" s="311" t="s">
        <v>117</v>
      </c>
      <c r="B11" s="321">
        <v>2105.6</v>
      </c>
      <c r="C11" s="322">
        <v>2064.1</v>
      </c>
      <c r="D11" s="323">
        <f t="shared" si="0"/>
        <v>-41.5</v>
      </c>
      <c r="E11" s="321">
        <v>404.8</v>
      </c>
      <c r="F11" s="322">
        <v>249.3</v>
      </c>
      <c r="G11" s="322">
        <f t="shared" si="1"/>
        <v>155.5</v>
      </c>
      <c r="H11" s="324">
        <v>155.4</v>
      </c>
      <c r="I11" s="337">
        <f t="shared" si="2"/>
        <v>-72.948000000000008</v>
      </c>
      <c r="J11" s="321">
        <v>82.451999999999998</v>
      </c>
      <c r="K11" s="325">
        <v>0.53</v>
      </c>
      <c r="L11" s="326">
        <f>1532.805</f>
        <v>1532.8050000000001</v>
      </c>
      <c r="M11" s="321">
        <v>949.43263930000001</v>
      </c>
      <c r="N11" s="322">
        <v>647.92883900000004</v>
      </c>
      <c r="O11" s="323">
        <v>185.96333799999999</v>
      </c>
      <c r="P11" s="327">
        <v>14.5</v>
      </c>
      <c r="Q11" s="37"/>
      <c r="R11" s="37"/>
    </row>
    <row r="12" spans="1:18" s="4" customFormat="1" ht="17.25" customHeight="1" x14ac:dyDescent="0.2">
      <c r="A12" s="312" t="s">
        <v>118</v>
      </c>
      <c r="B12" s="328">
        <v>2118.5</v>
      </c>
      <c r="C12" s="329">
        <v>2138.8000000000002</v>
      </c>
      <c r="D12" s="330">
        <f t="shared" si="0"/>
        <v>20.300000000000182</v>
      </c>
      <c r="E12" s="328">
        <v>404.18799999999999</v>
      </c>
      <c r="F12" s="329">
        <v>256.149</v>
      </c>
      <c r="G12" s="329">
        <f t="shared" si="1"/>
        <v>148.03899999999999</v>
      </c>
      <c r="H12" s="331">
        <v>148</v>
      </c>
      <c r="I12" s="330">
        <f t="shared" si="2"/>
        <v>27.435000000000002</v>
      </c>
      <c r="J12" s="328">
        <v>175.435</v>
      </c>
      <c r="K12" s="332">
        <v>1.1850000000000001</v>
      </c>
      <c r="L12" s="333">
        <f>1519.9+0.1</f>
        <v>1520</v>
      </c>
      <c r="M12" s="328">
        <v>913.948983</v>
      </c>
      <c r="N12" s="329">
        <v>620.86309700000004</v>
      </c>
      <c r="O12" s="330">
        <v>159.380144</v>
      </c>
      <c r="P12" s="334">
        <v>34.799999999999997</v>
      </c>
      <c r="Q12" s="37"/>
      <c r="R12" s="37"/>
    </row>
    <row r="13" spans="1:18" s="4" customFormat="1" ht="17.25" customHeight="1" x14ac:dyDescent="0.2">
      <c r="A13" s="310" t="s">
        <v>119</v>
      </c>
      <c r="B13" s="314">
        <v>2758.1</v>
      </c>
      <c r="C13" s="315">
        <v>2838.8</v>
      </c>
      <c r="D13" s="316">
        <f t="shared" si="0"/>
        <v>80.700000000000273</v>
      </c>
      <c r="E13" s="314">
        <v>757</v>
      </c>
      <c r="F13" s="315">
        <v>227.5</v>
      </c>
      <c r="G13" s="315">
        <f t="shared" si="1"/>
        <v>529.5</v>
      </c>
      <c r="H13" s="317">
        <v>147.09999999999997</v>
      </c>
      <c r="I13" s="316">
        <v>100.7</v>
      </c>
      <c r="J13" s="314">
        <v>248.9</v>
      </c>
      <c r="K13" s="318">
        <v>1.679</v>
      </c>
      <c r="L13" s="336">
        <f>1538.2+381.3</f>
        <v>1919.5</v>
      </c>
      <c r="M13" s="314">
        <v>914.38362600000005</v>
      </c>
      <c r="N13" s="315">
        <v>438.00208600000002</v>
      </c>
      <c r="O13" s="316">
        <v>-75.493926999999999</v>
      </c>
      <c r="P13" s="320">
        <v>115.5</v>
      </c>
      <c r="Q13" s="37"/>
      <c r="R13" s="37"/>
    </row>
    <row r="14" spans="1:18" s="4" customFormat="1" ht="17.25" customHeight="1" x14ac:dyDescent="0.2">
      <c r="A14" s="311" t="s">
        <v>120</v>
      </c>
      <c r="B14" s="321">
        <v>2211.1999999999998</v>
      </c>
      <c r="C14" s="322">
        <v>2568.3000000000002</v>
      </c>
      <c r="D14" s="323">
        <f t="shared" si="0"/>
        <v>357.10000000000036</v>
      </c>
      <c r="E14" s="321">
        <v>374.2</v>
      </c>
      <c r="F14" s="322">
        <v>247.2</v>
      </c>
      <c r="G14" s="322">
        <f t="shared" si="1"/>
        <v>127</v>
      </c>
      <c r="H14" s="324">
        <v>166.8</v>
      </c>
      <c r="I14" s="323">
        <v>157.30000000000001</v>
      </c>
      <c r="J14" s="321">
        <v>324.3</v>
      </c>
      <c r="K14" s="325">
        <v>1.9419999999999999</v>
      </c>
      <c r="L14" s="338">
        <v>1575.9</v>
      </c>
      <c r="M14" s="321">
        <v>929.97330399999998</v>
      </c>
      <c r="N14" s="322">
        <v>8.4587959999999995</v>
      </c>
      <c r="O14" s="323">
        <v>-475.18838899999997</v>
      </c>
      <c r="P14" s="327">
        <v>472.6</v>
      </c>
      <c r="Q14" s="37"/>
      <c r="R14" s="37"/>
    </row>
    <row r="15" spans="1:18" s="4" customFormat="1" ht="17.25" customHeight="1" x14ac:dyDescent="0.2">
      <c r="A15" s="311" t="s">
        <v>121</v>
      </c>
      <c r="B15" s="321">
        <v>2334.1999999999998</v>
      </c>
      <c r="C15" s="322">
        <v>2384.3000000000002</v>
      </c>
      <c r="D15" s="323">
        <f t="shared" si="0"/>
        <v>50.100000000000364</v>
      </c>
      <c r="E15" s="321">
        <v>389.9</v>
      </c>
      <c r="F15" s="322">
        <v>204.9</v>
      </c>
      <c r="G15" s="322">
        <f t="shared" si="1"/>
        <v>184.99999999999997</v>
      </c>
      <c r="H15" s="324">
        <v>162.28399999999999</v>
      </c>
      <c r="I15" s="323">
        <v>122.8</v>
      </c>
      <c r="J15" s="321">
        <v>307.8</v>
      </c>
      <c r="K15" s="325">
        <v>1.6639999999999999</v>
      </c>
      <c r="L15" s="338">
        <v>1670.5050000000001</v>
      </c>
      <c r="M15" s="321">
        <v>889.38352399999997</v>
      </c>
      <c r="N15" s="322">
        <v>-111.06697200000001</v>
      </c>
      <c r="O15" s="323">
        <v>-595.34652200000005</v>
      </c>
      <c r="P15" s="327">
        <v>522.70000000000005</v>
      </c>
      <c r="Q15" s="37"/>
      <c r="R15" s="37"/>
    </row>
    <row r="16" spans="1:18" s="4" customFormat="1" ht="17.25" customHeight="1" x14ac:dyDescent="0.2">
      <c r="A16" s="312" t="s">
        <v>122</v>
      </c>
      <c r="B16" s="328">
        <v>2408</v>
      </c>
      <c r="C16" s="329">
        <v>2569.4</v>
      </c>
      <c r="D16" s="330">
        <f t="shared" si="0"/>
        <v>161.40000000000009</v>
      </c>
      <c r="E16" s="328">
        <v>382.8</v>
      </c>
      <c r="F16" s="329">
        <v>187.1</v>
      </c>
      <c r="G16" s="329">
        <f t="shared" si="1"/>
        <v>195.70000000000002</v>
      </c>
      <c r="H16" s="329">
        <v>187.39999999999998</v>
      </c>
      <c r="I16" s="330">
        <v>184.6</v>
      </c>
      <c r="J16" s="328">
        <v>380.3</v>
      </c>
      <c r="K16" s="332">
        <v>1.9430000000000001</v>
      </c>
      <c r="L16" s="339">
        <v>1835.1</v>
      </c>
      <c r="M16" s="328">
        <v>774.70543099999998</v>
      </c>
      <c r="N16" s="329">
        <v>-292.415888</v>
      </c>
      <c r="O16" s="330">
        <v>-785.34431400000005</v>
      </c>
      <c r="P16" s="334">
        <v>684.1</v>
      </c>
      <c r="Q16" s="37"/>
      <c r="R16" s="37"/>
    </row>
    <row r="17" spans="1:18" s="4" customFormat="1" ht="17.25" customHeight="1" x14ac:dyDescent="0.2">
      <c r="A17" s="310" t="s">
        <v>123</v>
      </c>
      <c r="B17" s="314">
        <v>2374.7150000000001</v>
      </c>
      <c r="C17" s="315">
        <v>2687.2570000000001</v>
      </c>
      <c r="D17" s="316">
        <f t="shared" si="0"/>
        <v>312.54199999999992</v>
      </c>
      <c r="E17" s="314">
        <v>400.8</v>
      </c>
      <c r="F17" s="315">
        <v>223.8</v>
      </c>
      <c r="G17" s="315">
        <f t="shared" si="1"/>
        <v>177</v>
      </c>
      <c r="H17" s="315">
        <v>187.9</v>
      </c>
      <c r="I17" s="316">
        <v>112.8</v>
      </c>
      <c r="J17" s="314">
        <v>310.5</v>
      </c>
      <c r="K17" s="318">
        <v>1.57</v>
      </c>
      <c r="L17" s="340">
        <f>1845.1+9.9+4.3</f>
        <v>1859.3</v>
      </c>
      <c r="M17" s="314">
        <v>708.12746200000004</v>
      </c>
      <c r="N17" s="315">
        <v>-607.75611600000002</v>
      </c>
      <c r="O17" s="316">
        <v>-1083.3142760000001</v>
      </c>
      <c r="P17" s="320">
        <v>996.7</v>
      </c>
      <c r="Q17" s="37"/>
      <c r="R17" s="37"/>
    </row>
    <row r="18" spans="1:18" s="4" customFormat="1" ht="17.25" customHeight="1" x14ac:dyDescent="0.2">
      <c r="A18" s="311" t="s">
        <v>124</v>
      </c>
      <c r="B18" s="321">
        <v>2397.8530000000001</v>
      </c>
      <c r="C18" s="322">
        <v>2517.3389999999999</v>
      </c>
      <c r="D18" s="323">
        <f t="shared" si="0"/>
        <v>119.48599999999988</v>
      </c>
      <c r="E18" s="321">
        <v>437.5</v>
      </c>
      <c r="F18" s="322">
        <v>220.2</v>
      </c>
      <c r="G18" s="322">
        <f t="shared" si="1"/>
        <v>217.3</v>
      </c>
      <c r="H18" s="322">
        <v>205.3</v>
      </c>
      <c r="I18" s="323">
        <v>112.8</v>
      </c>
      <c r="J18" s="321">
        <v>323.10000000000002</v>
      </c>
      <c r="K18" s="325">
        <v>1.536</v>
      </c>
      <c r="L18" s="338">
        <f>1898.1+3.4+13.4</f>
        <v>1914.9</v>
      </c>
      <c r="M18" s="321">
        <v>717.62398599999995</v>
      </c>
      <c r="N18" s="322">
        <v>-733.67494299999998</v>
      </c>
      <c r="O18" s="323">
        <v>-1212.411762</v>
      </c>
      <c r="P18" s="327">
        <v>1116.0999999999999</v>
      </c>
      <c r="Q18" s="37"/>
      <c r="R18" s="37"/>
    </row>
    <row r="19" spans="1:18" s="4" customFormat="1" ht="17.25" customHeight="1" x14ac:dyDescent="0.2">
      <c r="A19" s="311" t="s">
        <v>125</v>
      </c>
      <c r="B19" s="321">
        <v>2841.3</v>
      </c>
      <c r="C19" s="322">
        <v>2686.3</v>
      </c>
      <c r="D19" s="323">
        <f t="shared" si="0"/>
        <v>-155</v>
      </c>
      <c r="E19" s="321">
        <v>417.3</v>
      </c>
      <c r="F19" s="322">
        <v>213.6</v>
      </c>
      <c r="G19" s="322">
        <f t="shared" si="1"/>
        <v>203.70000000000002</v>
      </c>
      <c r="H19" s="322">
        <v>196</v>
      </c>
      <c r="I19" s="323">
        <v>99</v>
      </c>
      <c r="J19" s="321">
        <v>294.89999999999998</v>
      </c>
      <c r="K19" s="325">
        <v>1.5049999999999999</v>
      </c>
      <c r="L19" s="326">
        <f>1861.1+9.4+4.2</f>
        <v>1874.7</v>
      </c>
      <c r="M19" s="321">
        <v>652.40246200000001</v>
      </c>
      <c r="N19" s="322">
        <v>-830.86321799999996</v>
      </c>
      <c r="O19" s="323">
        <v>-1318.0559720000001</v>
      </c>
      <c r="P19" s="327">
        <v>1001.1</v>
      </c>
      <c r="Q19" s="37"/>
      <c r="R19" s="37"/>
    </row>
    <row r="20" spans="1:18" s="4" customFormat="1" ht="17.25" customHeight="1" x14ac:dyDescent="0.2">
      <c r="A20" s="312" t="s">
        <v>126</v>
      </c>
      <c r="B20" s="328">
        <v>2483.1</v>
      </c>
      <c r="C20" s="329">
        <v>2531.9</v>
      </c>
      <c r="D20" s="330">
        <f t="shared" si="0"/>
        <v>48.800000000000182</v>
      </c>
      <c r="E20" s="328">
        <v>466.8</v>
      </c>
      <c r="F20" s="329">
        <v>192.4</v>
      </c>
      <c r="G20" s="329">
        <f t="shared" si="1"/>
        <v>274.39999999999998</v>
      </c>
      <c r="H20" s="329">
        <v>174.58799999999997</v>
      </c>
      <c r="I20" s="330">
        <v>14.6</v>
      </c>
      <c r="J20" s="328">
        <v>189.2</v>
      </c>
      <c r="K20" s="341">
        <v>1.0840000000000001</v>
      </c>
      <c r="L20" s="342">
        <f>1971.6+96.9+5+2.2</f>
        <v>2075.6999999999998</v>
      </c>
      <c r="M20" s="328">
        <v>562.57491900000002</v>
      </c>
      <c r="N20" s="329">
        <v>-750.35526900000002</v>
      </c>
      <c r="O20" s="330">
        <v>-1335.2202609999999</v>
      </c>
      <c r="P20" s="334">
        <v>1049.9000000000001</v>
      </c>
      <c r="Q20" s="37"/>
      <c r="R20" s="37"/>
    </row>
    <row r="21" spans="1:18" s="4" customFormat="1" ht="17.25" customHeight="1" x14ac:dyDescent="0.2">
      <c r="A21" s="310" t="s">
        <v>127</v>
      </c>
      <c r="B21" s="314">
        <v>2489.0940000000001</v>
      </c>
      <c r="C21" s="315">
        <v>2455.5459999999998</v>
      </c>
      <c r="D21" s="316">
        <f t="shared" si="0"/>
        <v>-33.548000000000229</v>
      </c>
      <c r="E21" s="314">
        <v>373.2</v>
      </c>
      <c r="F21" s="315">
        <v>212.4</v>
      </c>
      <c r="G21" s="315">
        <f t="shared" si="1"/>
        <v>160.79999999999998</v>
      </c>
      <c r="H21" s="315">
        <v>159.184</v>
      </c>
      <c r="I21" s="343">
        <f>J21-G21</f>
        <v>17.600000000000023</v>
      </c>
      <c r="J21" s="314">
        <v>178.4</v>
      </c>
      <c r="K21" s="344">
        <v>1.1100000000000001</v>
      </c>
      <c r="L21" s="345">
        <v>1883.3659329999998</v>
      </c>
      <c r="M21" s="314">
        <v>607.02587400000004</v>
      </c>
      <c r="N21" s="315">
        <v>-1655.5131369999999</v>
      </c>
      <c r="O21" s="316">
        <v>-2155.5651619999999</v>
      </c>
      <c r="P21" s="320">
        <v>2688.9</v>
      </c>
      <c r="Q21" s="37"/>
      <c r="R21" s="37"/>
    </row>
    <row r="22" spans="1:18" s="4" customFormat="1" ht="17.25" customHeight="1" x14ac:dyDescent="0.2">
      <c r="A22" s="311" t="s">
        <v>128</v>
      </c>
      <c r="B22" s="321">
        <v>2511.1</v>
      </c>
      <c r="C22" s="322">
        <v>2566.3000000000002</v>
      </c>
      <c r="D22" s="323">
        <f t="shared" si="0"/>
        <v>55.200000000000273</v>
      </c>
      <c r="E22" s="321">
        <v>378.9</v>
      </c>
      <c r="F22" s="322">
        <v>250.9</v>
      </c>
      <c r="G22" s="322">
        <f t="shared" si="1"/>
        <v>127.99999999999997</v>
      </c>
      <c r="H22" s="322">
        <v>122.61799999999999</v>
      </c>
      <c r="I22" s="323">
        <f t="shared" ref="I22:I28" si="3">J22-G22</f>
        <v>50.30000000000004</v>
      </c>
      <c r="J22" s="321">
        <v>178.3</v>
      </c>
      <c r="K22" s="325">
        <v>1.393</v>
      </c>
      <c r="L22" s="338">
        <v>1893.4087169999993</v>
      </c>
      <c r="M22" s="321">
        <v>638.30799999999999</v>
      </c>
      <c r="N22" s="322">
        <v>-1709.353611</v>
      </c>
      <c r="O22" s="323">
        <v>-2209.4246720000001</v>
      </c>
      <c r="P22" s="327">
        <v>2732.4</v>
      </c>
      <c r="Q22" s="37"/>
      <c r="R22" s="37"/>
    </row>
    <row r="23" spans="1:18" s="4" customFormat="1" ht="17.25" customHeight="1" x14ac:dyDescent="0.2">
      <c r="A23" s="311" t="s">
        <v>129</v>
      </c>
      <c r="B23" s="321">
        <v>2639.2</v>
      </c>
      <c r="C23" s="322">
        <v>2655.9</v>
      </c>
      <c r="D23" s="323">
        <f t="shared" si="0"/>
        <v>16.700000000000273</v>
      </c>
      <c r="E23" s="321">
        <v>415.7</v>
      </c>
      <c r="F23" s="322">
        <v>252.4</v>
      </c>
      <c r="G23" s="322">
        <f t="shared" si="1"/>
        <v>163.29999999999998</v>
      </c>
      <c r="H23" s="322">
        <v>151.52300000000002</v>
      </c>
      <c r="I23" s="323">
        <f t="shared" si="3"/>
        <v>48.500000000000028</v>
      </c>
      <c r="J23" s="321">
        <v>211.8</v>
      </c>
      <c r="K23" s="325">
        <v>1.2969999999999999</v>
      </c>
      <c r="L23" s="326">
        <v>1923.1227699999995</v>
      </c>
      <c r="M23" s="321">
        <v>820.98024299999997</v>
      </c>
      <c r="N23" s="322">
        <v>-1307.4835330000001</v>
      </c>
      <c r="O23" s="323">
        <v>-1808.0353809999999</v>
      </c>
      <c r="P23" s="327">
        <v>2324.6</v>
      </c>
      <c r="Q23" s="37"/>
      <c r="R23" s="37"/>
    </row>
    <row r="24" spans="1:18" s="4" customFormat="1" ht="17.25" customHeight="1" x14ac:dyDescent="0.2">
      <c r="A24" s="312" t="s">
        <v>130</v>
      </c>
      <c r="B24" s="328">
        <v>2445.1999999999998</v>
      </c>
      <c r="C24" s="329">
        <v>2393.6999999999998</v>
      </c>
      <c r="D24" s="330">
        <f t="shared" si="0"/>
        <v>-51.5</v>
      </c>
      <c r="E24" s="328">
        <v>355.9</v>
      </c>
      <c r="F24" s="329">
        <v>148.69999999999999</v>
      </c>
      <c r="G24" s="329">
        <f t="shared" si="1"/>
        <v>207.2</v>
      </c>
      <c r="H24" s="329">
        <v>194.92999999999998</v>
      </c>
      <c r="I24" s="330">
        <f t="shared" si="3"/>
        <v>-24</v>
      </c>
      <c r="J24" s="328">
        <v>183.2</v>
      </c>
      <c r="K24" s="341">
        <v>0.88400000000000001</v>
      </c>
      <c r="L24" s="342">
        <v>1945.4049659999998</v>
      </c>
      <c r="M24" s="328">
        <v>926.07426299999997</v>
      </c>
      <c r="N24" s="329">
        <v>-1263.7936870000001</v>
      </c>
      <c r="O24" s="330">
        <v>-1769.953129</v>
      </c>
      <c r="P24" s="334">
        <v>2298.1999999999998</v>
      </c>
      <c r="Q24" s="37"/>
      <c r="R24" s="37"/>
    </row>
    <row r="25" spans="1:18" s="4" customFormat="1" ht="17.25" customHeight="1" x14ac:dyDescent="0.2">
      <c r="A25" s="313" t="s">
        <v>131</v>
      </c>
      <c r="B25" s="346">
        <v>2391.1</v>
      </c>
      <c r="C25" s="347">
        <v>2519.9</v>
      </c>
      <c r="D25" s="348">
        <f t="shared" si="0"/>
        <v>128.80000000000018</v>
      </c>
      <c r="E25" s="346">
        <v>368.09407299999998</v>
      </c>
      <c r="F25" s="347">
        <v>146.64420699999999</v>
      </c>
      <c r="G25" s="347">
        <f t="shared" si="1"/>
        <v>221.44986599999999</v>
      </c>
      <c r="H25" s="347">
        <v>126.4</v>
      </c>
      <c r="I25" s="348">
        <f t="shared" si="3"/>
        <v>23.425366500000308</v>
      </c>
      <c r="J25" s="346">
        <v>244.87523250000029</v>
      </c>
      <c r="K25" s="349">
        <v>1.1060000000000001</v>
      </c>
      <c r="L25" s="345">
        <v>1985.3803160000002</v>
      </c>
      <c r="M25" s="346">
        <v>1044.382413</v>
      </c>
      <c r="N25" s="347">
        <v>-1332.5567149999999</v>
      </c>
      <c r="O25" s="348">
        <v>-1842.1928969999999</v>
      </c>
      <c r="P25" s="350">
        <v>2400.1999999999998</v>
      </c>
      <c r="Q25" s="37"/>
      <c r="R25" s="37"/>
    </row>
    <row r="26" spans="1:18" s="4" customFormat="1" ht="17.25" customHeight="1" x14ac:dyDescent="0.2">
      <c r="A26" s="311" t="s">
        <v>132</v>
      </c>
      <c r="B26" s="321">
        <v>2512.4</v>
      </c>
      <c r="C26" s="322">
        <v>2515.1</v>
      </c>
      <c r="D26" s="323">
        <f t="shared" si="0"/>
        <v>2.6999999999998181</v>
      </c>
      <c r="E26" s="321">
        <v>384.72899999999998</v>
      </c>
      <c r="F26" s="322">
        <v>145.066</v>
      </c>
      <c r="G26" s="322">
        <f t="shared" si="1"/>
        <v>239.66299999999998</v>
      </c>
      <c r="H26" s="322">
        <v>134.6</v>
      </c>
      <c r="I26" s="323">
        <f t="shared" si="3"/>
        <v>46.337000000000018</v>
      </c>
      <c r="J26" s="321">
        <v>286</v>
      </c>
      <c r="K26" s="351">
        <v>1.1930000000000001</v>
      </c>
      <c r="L26" s="326">
        <v>1996.984285</v>
      </c>
      <c r="M26" s="321">
        <v>1120.9676039999999</v>
      </c>
      <c r="N26" s="322">
        <v>-1357.3382999999999</v>
      </c>
      <c r="O26" s="323">
        <v>-1867.7804430000001</v>
      </c>
      <c r="P26" s="327">
        <v>2476.6</v>
      </c>
      <c r="Q26" s="37"/>
      <c r="R26" s="37"/>
    </row>
    <row r="27" spans="1:18" s="4" customFormat="1" ht="17.25" customHeight="1" x14ac:dyDescent="0.2">
      <c r="A27" s="311" t="s">
        <v>133</v>
      </c>
      <c r="B27" s="321">
        <v>2456.8000000000002</v>
      </c>
      <c r="C27" s="322">
        <v>2510.4</v>
      </c>
      <c r="D27" s="323">
        <f t="shared" ref="D27" si="4">C27-B27</f>
        <v>53.599999999999909</v>
      </c>
      <c r="E27" s="321">
        <v>381.15800000000002</v>
      </c>
      <c r="F27" s="322">
        <v>154.08500000000001</v>
      </c>
      <c r="G27" s="322">
        <f t="shared" ref="G27" si="5">E27-F27</f>
        <v>227.07300000000001</v>
      </c>
      <c r="H27" s="322">
        <v>120.6</v>
      </c>
      <c r="I27" s="323">
        <f t="shared" si="3"/>
        <v>73.227000000000004</v>
      </c>
      <c r="J27" s="321">
        <v>300.3</v>
      </c>
      <c r="K27" s="351">
        <v>1.323</v>
      </c>
      <c r="L27" s="326">
        <v>2006.4808209999992</v>
      </c>
      <c r="M27" s="321">
        <v>1176.8288660000001</v>
      </c>
      <c r="N27" s="322">
        <v>-1363.8843859999999</v>
      </c>
      <c r="O27" s="323">
        <v>-1873.9612629999999</v>
      </c>
      <c r="P27" s="327">
        <v>2527.3000000000002</v>
      </c>
      <c r="Q27" s="37"/>
      <c r="R27" s="37"/>
    </row>
    <row r="28" spans="1:18" s="4" customFormat="1" ht="17.25" customHeight="1" x14ac:dyDescent="0.2">
      <c r="A28" s="312" t="s">
        <v>134</v>
      </c>
      <c r="B28" s="328">
        <v>2543.7654996000001</v>
      </c>
      <c r="C28" s="329">
        <v>2625.6546429999999</v>
      </c>
      <c r="D28" s="330">
        <f t="shared" ref="D28:D30" si="6">C28-B28</f>
        <v>81.889143399999739</v>
      </c>
      <c r="E28" s="328">
        <v>339.44033300000001</v>
      </c>
      <c r="F28" s="329">
        <v>138.950684</v>
      </c>
      <c r="G28" s="329">
        <f t="shared" ref="G28:G30" si="7">E28-F28</f>
        <v>200.48964900000001</v>
      </c>
      <c r="H28" s="329">
        <v>123.123559</v>
      </c>
      <c r="I28" s="330">
        <f t="shared" si="3"/>
        <v>70.331679999999977</v>
      </c>
      <c r="J28" s="328">
        <v>270.82132899999999</v>
      </c>
      <c r="K28" s="341">
        <f t="shared" ref="K28:K31" si="8">J28/G28</f>
        <v>1.3507995567392108</v>
      </c>
      <c r="L28" s="352">
        <v>2044.9514699999993</v>
      </c>
      <c r="M28" s="328">
        <v>1139.068356</v>
      </c>
      <c r="N28" s="329">
        <v>-1469.3167390000001</v>
      </c>
      <c r="O28" s="330">
        <v>-1979.729411</v>
      </c>
      <c r="P28" s="334">
        <v>2644.3208460000001</v>
      </c>
      <c r="Q28" s="37"/>
      <c r="R28" s="37"/>
    </row>
    <row r="29" spans="1:18" s="4" customFormat="1" ht="17.25" customHeight="1" x14ac:dyDescent="0.2">
      <c r="A29" s="313" t="s">
        <v>399</v>
      </c>
      <c r="B29" s="353">
        <v>2780.2687089999999</v>
      </c>
      <c r="C29" s="317">
        <v>2914.5693620000002</v>
      </c>
      <c r="D29" s="335">
        <f t="shared" si="6"/>
        <v>134.30065300000024</v>
      </c>
      <c r="E29" s="353">
        <v>322.73647199999999</v>
      </c>
      <c r="F29" s="317">
        <v>133.33924099999999</v>
      </c>
      <c r="G29" s="317">
        <f t="shared" si="7"/>
        <v>189.397231</v>
      </c>
      <c r="H29" s="317">
        <v>138.00014300000001</v>
      </c>
      <c r="I29" s="335">
        <f t="shared" ref="I29:I33" si="9">J29-G29</f>
        <v>142.66704100000001</v>
      </c>
      <c r="J29" s="353">
        <v>332.06427200000002</v>
      </c>
      <c r="K29" s="354">
        <f t="shared" si="8"/>
        <v>1.7532688849078264</v>
      </c>
      <c r="L29" s="355">
        <v>2272.3110000000001</v>
      </c>
      <c r="M29" s="355">
        <v>1292.071555</v>
      </c>
      <c r="N29" s="356">
        <v>-1664.984134</v>
      </c>
      <c r="O29" s="357">
        <v>-2175.4223699999998</v>
      </c>
      <c r="P29" s="358">
        <v>2841.7159999999999</v>
      </c>
      <c r="Q29" s="37"/>
      <c r="R29" s="37"/>
    </row>
    <row r="30" spans="1:18" s="4" customFormat="1" ht="17.25" customHeight="1" x14ac:dyDescent="0.2">
      <c r="A30" s="311" t="s">
        <v>429</v>
      </c>
      <c r="B30" s="321">
        <v>2594.0394634999998</v>
      </c>
      <c r="C30" s="322">
        <v>2799.6245775000002</v>
      </c>
      <c r="D30" s="323">
        <f t="shared" si="6"/>
        <v>205.58511400000043</v>
      </c>
      <c r="E30" s="321">
        <v>338.41760843999998</v>
      </c>
      <c r="F30" s="322">
        <v>142.05029918</v>
      </c>
      <c r="G30" s="322">
        <f t="shared" si="7"/>
        <v>196.36730925999998</v>
      </c>
      <c r="H30" s="322">
        <v>133.46314673000001</v>
      </c>
      <c r="I30" s="323">
        <f t="shared" si="9"/>
        <v>222.49857900000003</v>
      </c>
      <c r="J30" s="321">
        <v>418.86588826000002</v>
      </c>
      <c r="K30" s="351">
        <f t="shared" si="8"/>
        <v>2.1330734216325231</v>
      </c>
      <c r="L30" s="326">
        <v>2052.8493843000001</v>
      </c>
      <c r="M30" s="321">
        <v>1131.9733911200001</v>
      </c>
      <c r="N30" s="322">
        <v>-1927.8077874000001</v>
      </c>
      <c r="O30" s="323">
        <v>-2434.7954343699998</v>
      </c>
      <c r="P30" s="327">
        <v>3097.2564483900001</v>
      </c>
      <c r="Q30" s="37"/>
      <c r="R30" s="37"/>
    </row>
    <row r="31" spans="1:18" s="4" customFormat="1" ht="17.25" customHeight="1" x14ac:dyDescent="0.2">
      <c r="A31" s="313" t="s">
        <v>443</v>
      </c>
      <c r="B31" s="359">
        <v>2616.2485664000001</v>
      </c>
      <c r="C31" s="360">
        <v>2778.6143848800002</v>
      </c>
      <c r="D31" s="361">
        <f>C31-B31</f>
        <v>162.36581848000014</v>
      </c>
      <c r="E31" s="359">
        <v>389.80268125999999</v>
      </c>
      <c r="F31" s="360">
        <v>147.34053703999999</v>
      </c>
      <c r="G31" s="360">
        <f>E31-F31</f>
        <v>242.46214422</v>
      </c>
      <c r="H31" s="360">
        <v>148.99970300000001</v>
      </c>
      <c r="I31" s="361">
        <f t="shared" si="9"/>
        <v>104.61867921000001</v>
      </c>
      <c r="J31" s="359">
        <v>347.08082343000001</v>
      </c>
      <c r="K31" s="362">
        <f t="shared" si="8"/>
        <v>1.4314845913227321</v>
      </c>
      <c r="L31" s="340">
        <v>2190.3794042000004</v>
      </c>
      <c r="M31" s="359">
        <v>1161.3177136100001</v>
      </c>
      <c r="N31" s="360">
        <v>-2054.33940024</v>
      </c>
      <c r="O31" s="361">
        <v>-2563.57783066</v>
      </c>
      <c r="P31" s="363">
        <v>3243.0914132399998</v>
      </c>
      <c r="Q31" s="37"/>
      <c r="R31" s="37"/>
    </row>
    <row r="32" spans="1:18" s="4" customFormat="1" ht="17.25" customHeight="1" x14ac:dyDescent="0.2">
      <c r="A32" s="732" t="s">
        <v>521</v>
      </c>
      <c r="B32" s="359">
        <v>2822.3466247400002</v>
      </c>
      <c r="C32" s="324">
        <v>2910.0440781000002</v>
      </c>
      <c r="D32" s="337">
        <f>C32-B32</f>
        <v>87.697453360000054</v>
      </c>
      <c r="E32" s="549">
        <v>420.27150481000001</v>
      </c>
      <c r="F32" s="324">
        <v>161.378263</v>
      </c>
      <c r="G32" s="324">
        <f>E32-F32</f>
        <v>258.89324181000001</v>
      </c>
      <c r="H32" s="324">
        <v>157.95061430999999</v>
      </c>
      <c r="I32" s="337">
        <f t="shared" si="9"/>
        <v>58.076382060000185</v>
      </c>
      <c r="J32" s="549">
        <v>316.96962387000019</v>
      </c>
      <c r="K32" s="828">
        <f>J32/G32</f>
        <v>1.2243256009850656</v>
      </c>
      <c r="L32" s="326">
        <v>2338.6782671199999</v>
      </c>
      <c r="M32" s="321">
        <v>1108.46192075</v>
      </c>
      <c r="N32" s="322">
        <v>-2110.8014830000002</v>
      </c>
      <c r="O32" s="323">
        <v>-2621.0394889999998</v>
      </c>
      <c r="P32" s="327">
        <v>3319.418756</v>
      </c>
      <c r="Q32" s="37"/>
      <c r="R32" s="37"/>
    </row>
    <row r="33" spans="1:19" s="4" customFormat="1" ht="17.25" customHeight="1" x14ac:dyDescent="0.2">
      <c r="A33" s="732" t="s">
        <v>442</v>
      </c>
      <c r="B33" s="615">
        <f>2980.279-3.28</f>
        <v>2976.9989999999998</v>
      </c>
      <c r="C33" s="380">
        <v>2889.7660000000001</v>
      </c>
      <c r="D33" s="616">
        <f>C33-B33</f>
        <v>-87.23299999999972</v>
      </c>
      <c r="E33" s="615">
        <v>525.44600000000003</v>
      </c>
      <c r="F33" s="380">
        <v>171.31399999999999</v>
      </c>
      <c r="G33" s="380">
        <f>E33-F33</f>
        <v>354.13200000000006</v>
      </c>
      <c r="H33" s="380">
        <v>54.697000000000003</v>
      </c>
      <c r="I33" s="616">
        <f t="shared" si="9"/>
        <v>-218.81800000000007</v>
      </c>
      <c r="J33" s="615">
        <f>132.034+3.28</f>
        <v>135.31399999999999</v>
      </c>
      <c r="K33" s="617">
        <f>J33/G33</f>
        <v>0.3821004597155862</v>
      </c>
      <c r="L33" s="618">
        <f>2571.207-3.28</f>
        <v>2567.9269999999997</v>
      </c>
      <c r="M33" s="615"/>
      <c r="N33" s="380"/>
      <c r="O33" s="616"/>
      <c r="P33" s="619"/>
      <c r="Q33" s="37"/>
      <c r="R33" s="37"/>
    </row>
    <row r="34" spans="1:19" s="4" customFormat="1" ht="17.25" customHeight="1" x14ac:dyDescent="0.2">
      <c r="A34" s="608" t="s">
        <v>520</v>
      </c>
      <c r="B34" s="609">
        <v>3068.6950000000002</v>
      </c>
      <c r="C34" s="610">
        <v>2957.3470000000002</v>
      </c>
      <c r="D34" s="611">
        <f>C34-B34</f>
        <v>-111.34799999999996</v>
      </c>
      <c r="E34" s="609">
        <v>542.58100000000002</v>
      </c>
      <c r="F34" s="610">
        <v>168.934</v>
      </c>
      <c r="G34" s="611">
        <f>E34-F34</f>
        <v>373.64700000000005</v>
      </c>
      <c r="H34" s="611">
        <v>54.840000000000018</v>
      </c>
      <c r="I34" s="611">
        <f>J34-G34</f>
        <v>-256.54000000000008</v>
      </c>
      <c r="J34" s="611">
        <v>117.107</v>
      </c>
      <c r="K34" s="829">
        <f>J34/G34</f>
        <v>0.31341613876198654</v>
      </c>
      <c r="L34" s="612">
        <v>2636.8069999999998</v>
      </c>
      <c r="M34" s="611"/>
      <c r="N34" s="389"/>
      <c r="O34" s="613"/>
      <c r="P34" s="614"/>
      <c r="Q34" s="37"/>
      <c r="R34" s="37"/>
    </row>
    <row r="35" spans="1:19" s="220" customFormat="1" ht="3.75" customHeight="1" x14ac:dyDescent="0.2">
      <c r="A35" s="216"/>
      <c r="B35" s="56"/>
      <c r="C35" s="56"/>
      <c r="D35" s="56"/>
      <c r="E35" s="56"/>
      <c r="F35" s="56"/>
      <c r="G35" s="56"/>
      <c r="H35" s="56"/>
      <c r="I35" s="56"/>
      <c r="J35" s="56"/>
      <c r="K35" s="217"/>
      <c r="L35" s="218"/>
      <c r="M35" s="60"/>
      <c r="N35" s="60"/>
      <c r="O35" s="60"/>
      <c r="P35" s="60"/>
      <c r="Q35" s="219"/>
      <c r="R35" s="219"/>
    </row>
    <row r="36" spans="1:19" ht="15" customHeight="1" x14ac:dyDescent="0.2">
      <c r="A36" s="852" t="s">
        <v>287</v>
      </c>
      <c r="B36" s="844"/>
      <c r="C36" s="844"/>
      <c r="D36" s="844"/>
      <c r="E36" s="844"/>
      <c r="F36" s="844"/>
      <c r="G36" s="844"/>
      <c r="H36" s="844"/>
      <c r="I36" s="844"/>
      <c r="J36" s="844"/>
      <c r="K36" s="844"/>
      <c r="L36" s="844"/>
      <c r="M36" s="844"/>
      <c r="N36" s="844"/>
      <c r="O36" s="844"/>
      <c r="P36" s="844"/>
      <c r="Q36" s="844"/>
    </row>
    <row r="37" spans="1:19" ht="15" customHeight="1" x14ac:dyDescent="0.2">
      <c r="A37" s="843" t="s">
        <v>97</v>
      </c>
      <c r="B37" s="844"/>
      <c r="C37" s="844"/>
      <c r="D37" s="844"/>
      <c r="E37" s="844"/>
      <c r="F37" s="844"/>
      <c r="G37" s="844"/>
      <c r="H37" s="844"/>
      <c r="I37" s="844"/>
      <c r="J37" s="844"/>
      <c r="K37" s="844"/>
      <c r="L37" s="844"/>
      <c r="M37" s="844"/>
      <c r="N37" s="844"/>
      <c r="O37" s="844"/>
      <c r="P37" s="844"/>
      <c r="Q37" s="844"/>
    </row>
    <row r="38" spans="1:19" ht="15" customHeight="1" x14ac:dyDescent="0.2">
      <c r="A38" s="843" t="s">
        <v>98</v>
      </c>
      <c r="B38" s="844"/>
      <c r="C38" s="844"/>
      <c r="D38" s="844"/>
      <c r="E38" s="844"/>
      <c r="F38" s="844"/>
      <c r="G38" s="844"/>
      <c r="H38" s="844"/>
      <c r="I38" s="844"/>
      <c r="J38" s="844"/>
      <c r="K38" s="844"/>
      <c r="L38" s="844"/>
      <c r="M38" s="844"/>
      <c r="N38" s="844"/>
      <c r="O38" s="844"/>
      <c r="P38" s="844"/>
      <c r="Q38" s="844"/>
    </row>
    <row r="39" spans="1:19" ht="15" customHeight="1" x14ac:dyDescent="0.2">
      <c r="A39" s="853" t="s">
        <v>99</v>
      </c>
      <c r="B39" s="844"/>
      <c r="C39" s="844"/>
      <c r="D39" s="844"/>
      <c r="E39" s="844"/>
      <c r="F39" s="844"/>
      <c r="G39" s="844"/>
      <c r="H39" s="844"/>
      <c r="I39" s="844"/>
      <c r="J39" s="844"/>
      <c r="K39" s="844"/>
      <c r="L39" s="844"/>
      <c r="M39" s="844"/>
      <c r="N39" s="844"/>
      <c r="O39" s="844"/>
      <c r="P39" s="844"/>
      <c r="Q39" s="844"/>
    </row>
    <row r="40" spans="1:19" ht="30" customHeight="1" x14ac:dyDescent="0.2">
      <c r="A40" s="847" t="s">
        <v>391</v>
      </c>
      <c r="B40" s="848"/>
      <c r="C40" s="848"/>
      <c r="D40" s="848"/>
      <c r="E40" s="848"/>
      <c r="F40" s="848"/>
      <c r="G40" s="848"/>
      <c r="H40" s="848"/>
      <c r="I40" s="848"/>
      <c r="J40" s="848"/>
      <c r="K40" s="848"/>
      <c r="L40" s="848"/>
      <c r="M40" s="848"/>
      <c r="N40" s="848"/>
      <c r="O40" s="848"/>
      <c r="P40" s="848"/>
      <c r="Q40" s="848"/>
      <c r="R40" s="204"/>
      <c r="S40" s="204"/>
    </row>
    <row r="41" spans="1:19" ht="15" customHeight="1" x14ac:dyDescent="0.2">
      <c r="A41" s="853" t="s">
        <v>100</v>
      </c>
      <c r="B41" s="844"/>
      <c r="C41" s="844"/>
      <c r="D41" s="844"/>
      <c r="E41" s="844"/>
      <c r="F41" s="844"/>
      <c r="G41" s="844"/>
      <c r="H41" s="844"/>
      <c r="I41" s="844"/>
      <c r="J41" s="844"/>
      <c r="K41" s="844"/>
      <c r="L41" s="844"/>
      <c r="M41" s="844"/>
      <c r="N41" s="844"/>
      <c r="O41" s="844"/>
      <c r="P41" s="844"/>
      <c r="Q41" s="844"/>
    </row>
    <row r="42" spans="1:19" s="210" customFormat="1" x14ac:dyDescent="0.2">
      <c r="A42" s="849" t="s">
        <v>278</v>
      </c>
      <c r="B42" s="848"/>
      <c r="C42" s="848"/>
      <c r="D42" s="848"/>
      <c r="E42" s="848"/>
      <c r="F42" s="848"/>
      <c r="G42" s="848"/>
      <c r="H42" s="848"/>
      <c r="I42" s="848"/>
      <c r="J42" s="848"/>
      <c r="K42" s="848"/>
      <c r="L42" s="848"/>
      <c r="M42" s="848"/>
      <c r="N42" s="848"/>
      <c r="O42" s="848"/>
      <c r="P42" s="848"/>
      <c r="Q42" s="844"/>
    </row>
    <row r="43" spans="1:19" ht="15" customHeight="1" x14ac:dyDescent="0.2">
      <c r="A43" s="843" t="s">
        <v>279</v>
      </c>
      <c r="B43" s="844"/>
      <c r="C43" s="844"/>
      <c r="D43" s="844"/>
      <c r="E43" s="844"/>
      <c r="F43" s="844"/>
      <c r="G43" s="844"/>
      <c r="H43" s="844"/>
      <c r="I43" s="844"/>
      <c r="J43" s="844"/>
      <c r="K43" s="844"/>
      <c r="L43" s="844"/>
      <c r="M43" s="844"/>
      <c r="N43" s="844"/>
      <c r="O43" s="844"/>
      <c r="P43" s="844"/>
      <c r="Q43" s="844"/>
    </row>
    <row r="44" spans="1:19" ht="15" customHeight="1" x14ac:dyDescent="0.2">
      <c r="A44" s="843" t="s">
        <v>280</v>
      </c>
      <c r="B44" s="844"/>
      <c r="C44" s="844"/>
      <c r="D44" s="844"/>
      <c r="E44" s="844"/>
      <c r="F44" s="844"/>
      <c r="G44" s="844"/>
      <c r="H44" s="844"/>
      <c r="I44" s="844"/>
      <c r="J44" s="844"/>
      <c r="K44" s="844"/>
      <c r="L44" s="844"/>
      <c r="M44" s="844"/>
      <c r="N44" s="844"/>
      <c r="O44" s="844"/>
      <c r="P44" s="844"/>
      <c r="Q44" s="844"/>
    </row>
    <row r="45" spans="1:19" ht="15" customHeight="1" x14ac:dyDescent="0.2">
      <c r="A45" s="843" t="s">
        <v>392</v>
      </c>
      <c r="B45" s="844"/>
      <c r="C45" s="844"/>
      <c r="D45" s="844"/>
      <c r="E45" s="844"/>
      <c r="F45" s="844"/>
      <c r="G45" s="844"/>
      <c r="H45" s="844"/>
      <c r="I45" s="844"/>
      <c r="J45" s="844"/>
      <c r="K45" s="844"/>
      <c r="L45" s="844"/>
      <c r="M45" s="844"/>
      <c r="N45" s="844"/>
      <c r="O45" s="844"/>
      <c r="P45" s="844"/>
      <c r="Q45" s="844"/>
    </row>
    <row r="46" spans="1:19" ht="30" customHeight="1" x14ac:dyDescent="0.2">
      <c r="A46" s="847" t="s">
        <v>394</v>
      </c>
      <c r="B46" s="850"/>
      <c r="C46" s="850"/>
      <c r="D46" s="850"/>
      <c r="E46" s="850"/>
      <c r="F46" s="850"/>
      <c r="G46" s="850"/>
      <c r="H46" s="850"/>
      <c r="I46" s="850"/>
      <c r="J46" s="850"/>
      <c r="K46" s="850"/>
      <c r="L46" s="850"/>
      <c r="M46" s="850"/>
      <c r="N46" s="850"/>
      <c r="O46" s="850"/>
      <c r="P46" s="850"/>
      <c r="Q46" s="851"/>
      <c r="R46" s="205"/>
      <c r="S46" s="205"/>
    </row>
  </sheetData>
  <mergeCells count="12">
    <mergeCell ref="A45:Q45"/>
    <mergeCell ref="N3:O3"/>
    <mergeCell ref="A40:Q40"/>
    <mergeCell ref="A42:Q42"/>
    <mergeCell ref="A46:Q46"/>
    <mergeCell ref="A36:Q36"/>
    <mergeCell ref="A37:Q37"/>
    <mergeCell ref="A38:Q38"/>
    <mergeCell ref="A39:Q39"/>
    <mergeCell ref="A41:Q41"/>
    <mergeCell ref="A43:Q43"/>
    <mergeCell ref="A44:Q44"/>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view="pageBreakPreview" zoomScale="145" zoomScaleNormal="100" zoomScaleSheetLayoutView="145" workbookViewId="0">
      <pane ySplit="5" topLeftCell="A28" activePane="bottomLeft" state="frozen"/>
      <selection activeCell="H33" sqref="H33"/>
      <selection pane="bottomLeft" activeCell="N35" sqref="N35"/>
    </sheetView>
  </sheetViews>
  <sheetFormatPr baseColWidth="10" defaultColWidth="11.42578125" defaultRowHeight="12.75" x14ac:dyDescent="0.2"/>
  <cols>
    <col min="1" max="1" width="8" style="2" customWidth="1"/>
    <col min="2" max="2" width="10.42578125" style="2" bestFit="1" customWidth="1"/>
    <col min="3" max="5" width="8.42578125" style="2" customWidth="1"/>
    <col min="6" max="7" width="7.28515625" style="2" customWidth="1"/>
    <col min="8" max="8" width="8.28515625" style="2" customWidth="1"/>
    <col min="9" max="9" width="7.28515625" style="2" customWidth="1"/>
    <col min="10" max="11" width="8.42578125" style="2" customWidth="1"/>
    <col min="12" max="13" width="7.28515625" style="2" customWidth="1"/>
    <col min="14" max="14" width="43" style="31" customWidth="1"/>
    <col min="15" max="15" width="11.42578125" style="31"/>
    <col min="16" max="16384" width="11.42578125" style="2"/>
  </cols>
  <sheetData>
    <row r="1" spans="1:15" ht="15.75" x14ac:dyDescent="0.25">
      <c r="A1" s="1" t="s">
        <v>66</v>
      </c>
    </row>
    <row r="2" spans="1:15" ht="12.75" customHeight="1" x14ac:dyDescent="0.2">
      <c r="A2" s="2" t="s">
        <v>288</v>
      </c>
    </row>
    <row r="3" spans="1:15" ht="13.5" customHeight="1" x14ac:dyDescent="0.2"/>
    <row r="4" spans="1:15" s="5" customFormat="1" ht="15" customHeight="1" x14ac:dyDescent="0.2">
      <c r="A4" s="75"/>
      <c r="B4" s="69">
        <v>3</v>
      </c>
      <c r="C4" s="69">
        <v>30</v>
      </c>
      <c r="D4" s="69">
        <v>31</v>
      </c>
      <c r="E4" s="69">
        <v>36</v>
      </c>
      <c r="F4" s="856" t="s">
        <v>368</v>
      </c>
      <c r="G4" s="858"/>
      <c r="H4" s="858"/>
      <c r="I4" s="858"/>
      <c r="J4" s="69">
        <v>37</v>
      </c>
      <c r="K4" s="69">
        <v>38</v>
      </c>
      <c r="L4" s="856" t="s">
        <v>369</v>
      </c>
      <c r="M4" s="857"/>
      <c r="N4" s="9"/>
      <c r="O4" s="9"/>
    </row>
    <row r="5" spans="1:15" s="211" customFormat="1" ht="40.5" customHeight="1" x14ac:dyDescent="0.2">
      <c r="A5" s="235" t="s">
        <v>4</v>
      </c>
      <c r="B5" s="236" t="s">
        <v>359</v>
      </c>
      <c r="C5" s="236" t="s">
        <v>360</v>
      </c>
      <c r="D5" s="236" t="s">
        <v>361</v>
      </c>
      <c r="E5" s="236" t="s">
        <v>362</v>
      </c>
      <c r="F5" s="236" t="s">
        <v>363</v>
      </c>
      <c r="G5" s="236" t="s">
        <v>364</v>
      </c>
      <c r="H5" s="236" t="s">
        <v>365</v>
      </c>
      <c r="I5" s="236" t="s">
        <v>366</v>
      </c>
      <c r="J5" s="236" t="s">
        <v>367</v>
      </c>
      <c r="K5" s="236" t="s">
        <v>372</v>
      </c>
      <c r="L5" s="236" t="s">
        <v>373</v>
      </c>
      <c r="M5" s="237" t="s">
        <v>374</v>
      </c>
      <c r="N5" s="212"/>
      <c r="O5" s="212"/>
    </row>
    <row r="6" spans="1:15" s="3" customFormat="1" ht="17.25" customHeight="1" x14ac:dyDescent="0.2">
      <c r="A6" s="77" t="s">
        <v>111</v>
      </c>
      <c r="B6" s="315">
        <v>1760.9</v>
      </c>
      <c r="C6" s="315">
        <v>330.8</v>
      </c>
      <c r="D6" s="315">
        <v>235.7</v>
      </c>
      <c r="E6" s="315">
        <f>105.455+7.891+355.269+54.868</f>
        <v>523.48300000000006</v>
      </c>
      <c r="F6" s="315"/>
      <c r="G6" s="315"/>
      <c r="H6" s="315"/>
      <c r="I6" s="315"/>
      <c r="J6" s="315">
        <v>248.5</v>
      </c>
      <c r="K6" s="315">
        <v>-8</v>
      </c>
      <c r="L6" s="315"/>
      <c r="M6" s="364"/>
      <c r="N6" s="59"/>
      <c r="O6" s="58"/>
    </row>
    <row r="7" spans="1:15" s="3" customFormat="1" ht="17.25" customHeight="1" x14ac:dyDescent="0.2">
      <c r="A7" s="72" t="s">
        <v>112</v>
      </c>
      <c r="B7" s="322">
        <v>1930.4</v>
      </c>
      <c r="C7" s="322">
        <v>333.4</v>
      </c>
      <c r="D7" s="322">
        <v>249.6</v>
      </c>
      <c r="E7" s="322">
        <f>371.846+5.772+97.24+68.111+0.127</f>
        <v>543.096</v>
      </c>
      <c r="F7" s="322"/>
      <c r="G7" s="322"/>
      <c r="H7" s="322"/>
      <c r="I7" s="322"/>
      <c r="J7" s="365">
        <v>366.6</v>
      </c>
      <c r="K7" s="365">
        <v>1.1000000000000001</v>
      </c>
      <c r="L7" s="322"/>
      <c r="M7" s="366"/>
      <c r="N7" s="59"/>
      <c r="O7" s="58"/>
    </row>
    <row r="8" spans="1:15" s="3" customFormat="1" ht="17.25" customHeight="1" x14ac:dyDescent="0.2">
      <c r="A8" s="72" t="s">
        <v>113</v>
      </c>
      <c r="B8" s="322">
        <v>1881</v>
      </c>
      <c r="C8" s="322">
        <v>334</v>
      </c>
      <c r="D8" s="322">
        <v>279.7</v>
      </c>
      <c r="E8" s="322">
        <f>95.319+5.841+368.029+67.85+0.1</f>
        <v>537.13900000000001</v>
      </c>
      <c r="F8" s="322"/>
      <c r="G8" s="322"/>
      <c r="H8" s="322"/>
      <c r="I8" s="322"/>
      <c r="J8" s="322">
        <v>380</v>
      </c>
      <c r="K8" s="322"/>
      <c r="L8" s="322"/>
      <c r="M8" s="366"/>
      <c r="N8" s="59"/>
      <c r="O8" s="58"/>
    </row>
    <row r="9" spans="1:15" s="3" customFormat="1" ht="17.25" customHeight="1" x14ac:dyDescent="0.2">
      <c r="A9" s="78" t="s">
        <v>114</v>
      </c>
      <c r="B9" s="329">
        <v>1892.4</v>
      </c>
      <c r="C9" s="329">
        <v>332.9</v>
      </c>
      <c r="D9" s="329">
        <v>267.3</v>
      </c>
      <c r="E9" s="329">
        <f>381.981+5.742+98.927+67.295+0.18+0.46</f>
        <v>554.58500000000004</v>
      </c>
      <c r="F9" s="329"/>
      <c r="G9" s="329"/>
      <c r="H9" s="329"/>
      <c r="I9" s="329"/>
      <c r="J9" s="329">
        <v>371</v>
      </c>
      <c r="K9" s="329"/>
      <c r="L9" s="329"/>
      <c r="M9" s="367"/>
      <c r="N9" s="59"/>
      <c r="O9" s="58"/>
    </row>
    <row r="10" spans="1:15" s="3" customFormat="1" ht="17.25" customHeight="1" x14ac:dyDescent="0.2">
      <c r="A10" s="77" t="s">
        <v>115</v>
      </c>
      <c r="B10" s="315">
        <v>1995.4</v>
      </c>
      <c r="C10" s="315">
        <v>346.8</v>
      </c>
      <c r="D10" s="315">
        <v>284.10233699999998</v>
      </c>
      <c r="E10" s="315">
        <f>120.203719+5.905667+399.19612+68.389</f>
        <v>593.69450600000005</v>
      </c>
      <c r="F10" s="315"/>
      <c r="G10" s="315"/>
      <c r="H10" s="315"/>
      <c r="I10" s="315"/>
      <c r="J10" s="315">
        <v>375</v>
      </c>
      <c r="K10" s="315"/>
      <c r="L10" s="315"/>
      <c r="M10" s="364"/>
      <c r="N10" s="59"/>
      <c r="O10" s="58"/>
    </row>
    <row r="11" spans="1:15" s="3" customFormat="1" ht="17.25" customHeight="1" x14ac:dyDescent="0.2">
      <c r="A11" s="72" t="s">
        <v>116</v>
      </c>
      <c r="B11" s="322">
        <v>2064.4</v>
      </c>
      <c r="C11" s="322">
        <v>315.60000000000002</v>
      </c>
      <c r="D11" s="322">
        <v>287.2</v>
      </c>
      <c r="E11" s="322">
        <f>482.822+6.531+127.678+71.008-0.0176</f>
        <v>688.02139999999997</v>
      </c>
      <c r="F11" s="322"/>
      <c r="G11" s="322"/>
      <c r="H11" s="322"/>
      <c r="I11" s="322"/>
      <c r="J11" s="322">
        <v>395.7</v>
      </c>
      <c r="K11" s="322"/>
      <c r="L11" s="322"/>
      <c r="M11" s="366"/>
      <c r="N11" s="59"/>
      <c r="O11" s="58"/>
    </row>
    <row r="12" spans="1:15" s="3" customFormat="1" ht="17.25" customHeight="1" x14ac:dyDescent="0.2">
      <c r="A12" s="72" t="s">
        <v>117</v>
      </c>
      <c r="B12" s="322">
        <v>2105.6</v>
      </c>
      <c r="C12" s="322">
        <v>313.2</v>
      </c>
      <c r="D12" s="322">
        <v>284.8</v>
      </c>
      <c r="E12" s="322">
        <f>521.258+7.426+107.657+77.895</f>
        <v>714.2360000000001</v>
      </c>
      <c r="F12" s="322"/>
      <c r="G12" s="322"/>
      <c r="H12" s="322"/>
      <c r="I12" s="322"/>
      <c r="J12" s="322">
        <v>411.8</v>
      </c>
      <c r="K12" s="322"/>
      <c r="L12" s="322"/>
      <c r="M12" s="366"/>
      <c r="N12" s="59"/>
      <c r="O12" s="58"/>
    </row>
    <row r="13" spans="1:15" s="3" customFormat="1" ht="17.25" customHeight="1" x14ac:dyDescent="0.2">
      <c r="A13" s="78" t="s">
        <v>118</v>
      </c>
      <c r="B13" s="329">
        <v>2118.5</v>
      </c>
      <c r="C13" s="329">
        <v>312.89999999999998</v>
      </c>
      <c r="D13" s="329">
        <v>290</v>
      </c>
      <c r="E13" s="329">
        <f>115.869+7.374+503.286+79.718+9.998999</f>
        <v>716.24599899999998</v>
      </c>
      <c r="F13" s="329"/>
      <c r="G13" s="329"/>
      <c r="H13" s="329"/>
      <c r="I13" s="329"/>
      <c r="J13" s="329">
        <v>419.4</v>
      </c>
      <c r="K13" s="329">
        <v>29.8</v>
      </c>
      <c r="L13" s="329"/>
      <c r="M13" s="367"/>
      <c r="N13" s="59"/>
      <c r="O13" s="58"/>
    </row>
    <row r="14" spans="1:15" s="3" customFormat="1" ht="17.25" customHeight="1" x14ac:dyDescent="0.2">
      <c r="A14" s="77" t="s">
        <v>119</v>
      </c>
      <c r="B14" s="315">
        <v>2758.1</v>
      </c>
      <c r="C14" s="315">
        <v>315.5</v>
      </c>
      <c r="D14" s="315">
        <v>300</v>
      </c>
      <c r="E14" s="315">
        <f>136.372+7.75+499.409+81.44+78.041</f>
        <v>803.01199999999994</v>
      </c>
      <c r="F14" s="315"/>
      <c r="G14" s="315"/>
      <c r="H14" s="315"/>
      <c r="I14" s="315"/>
      <c r="J14" s="315">
        <v>423.5</v>
      </c>
      <c r="K14" s="315">
        <f>511.2+10</f>
        <v>521.20000000000005</v>
      </c>
      <c r="L14" s="315"/>
      <c r="M14" s="364"/>
      <c r="N14" s="59"/>
      <c r="O14" s="58"/>
    </row>
    <row r="15" spans="1:15" s="3" customFormat="1" ht="17.25" customHeight="1" x14ac:dyDescent="0.2">
      <c r="A15" s="72" t="s">
        <v>120</v>
      </c>
      <c r="B15" s="322">
        <v>2211.1999999999998</v>
      </c>
      <c r="C15" s="322">
        <v>292</v>
      </c>
      <c r="D15" s="322">
        <v>311.3</v>
      </c>
      <c r="E15" s="322">
        <f>530.303+7.685+152.283+95.276+0.0107</f>
        <v>785.55769999999995</v>
      </c>
      <c r="F15" s="322"/>
      <c r="G15" s="322"/>
      <c r="H15" s="322"/>
      <c r="I15" s="322"/>
      <c r="J15" s="322">
        <v>430.1</v>
      </c>
      <c r="K15" s="322"/>
      <c r="L15" s="322"/>
      <c r="M15" s="366"/>
      <c r="N15" s="59"/>
      <c r="O15" s="58"/>
    </row>
    <row r="16" spans="1:15" s="3" customFormat="1" ht="17.25" customHeight="1" x14ac:dyDescent="0.2">
      <c r="A16" s="72" t="s">
        <v>121</v>
      </c>
      <c r="B16" s="322">
        <v>2334.1999999999998</v>
      </c>
      <c r="C16" s="322">
        <v>299.10000000000002</v>
      </c>
      <c r="D16" s="322">
        <v>283.3</v>
      </c>
      <c r="E16" s="322">
        <f>196.141+7.539+592.717+115.343+0.125+0.005</f>
        <v>911.86999999999989</v>
      </c>
      <c r="F16" s="322"/>
      <c r="G16" s="322"/>
      <c r="H16" s="322"/>
      <c r="I16" s="322"/>
      <c r="J16" s="322">
        <v>439</v>
      </c>
      <c r="K16" s="368">
        <f>53.8+56.1</f>
        <v>109.9</v>
      </c>
      <c r="L16" s="322"/>
      <c r="M16" s="366"/>
      <c r="N16" s="59"/>
      <c r="O16" s="58"/>
    </row>
    <row r="17" spans="1:15" s="3" customFormat="1" ht="17.25" customHeight="1" x14ac:dyDescent="0.2">
      <c r="A17" s="78" t="s">
        <v>122</v>
      </c>
      <c r="B17" s="329">
        <v>2408</v>
      </c>
      <c r="C17" s="329">
        <v>318.2</v>
      </c>
      <c r="D17" s="329">
        <v>310.5</v>
      </c>
      <c r="E17" s="329">
        <f>202.184+8.075+670.311+102.866</f>
        <v>983.43600000000004</v>
      </c>
      <c r="F17" s="329"/>
      <c r="G17" s="329"/>
      <c r="H17" s="329"/>
      <c r="I17" s="329"/>
      <c r="J17" s="329">
        <v>358</v>
      </c>
      <c r="K17" s="329">
        <v>14.442</v>
      </c>
      <c r="L17" s="329"/>
      <c r="M17" s="367"/>
      <c r="N17" s="59"/>
      <c r="O17" s="58"/>
    </row>
    <row r="18" spans="1:15" s="3" customFormat="1" ht="17.25" customHeight="1" x14ac:dyDescent="0.2">
      <c r="A18" s="77" t="s">
        <v>123</v>
      </c>
      <c r="B18" s="315">
        <v>2374.6999999999998</v>
      </c>
      <c r="C18" s="315">
        <v>325</v>
      </c>
      <c r="D18" s="369">
        <v>295.8</v>
      </c>
      <c r="E18" s="370">
        <f>153.413+8.326+713.218+99.806</f>
        <v>974.76300000000003</v>
      </c>
      <c r="F18" s="369"/>
      <c r="G18" s="369"/>
      <c r="H18" s="369"/>
      <c r="I18" s="369"/>
      <c r="J18" s="369">
        <v>355.1</v>
      </c>
      <c r="K18" s="370">
        <v>9.0890000000000004</v>
      </c>
      <c r="L18" s="369"/>
      <c r="M18" s="371"/>
      <c r="N18" s="59"/>
      <c r="O18" s="59"/>
    </row>
    <row r="19" spans="1:15" s="3" customFormat="1" ht="17.25" customHeight="1" x14ac:dyDescent="0.2">
      <c r="A19" s="72" t="s">
        <v>124</v>
      </c>
      <c r="B19" s="322">
        <v>2397.9</v>
      </c>
      <c r="C19" s="322">
        <v>333.1</v>
      </c>
      <c r="D19" s="365">
        <v>283.39999999999998</v>
      </c>
      <c r="E19" s="372">
        <f>142.778+9+761.979+117.423+9.611</f>
        <v>1040.7910000000002</v>
      </c>
      <c r="F19" s="365"/>
      <c r="G19" s="365"/>
      <c r="H19" s="372"/>
      <c r="I19" s="365"/>
      <c r="J19" s="365">
        <v>369.8</v>
      </c>
      <c r="K19" s="372">
        <v>3.3809999999999998</v>
      </c>
      <c r="L19" s="365"/>
      <c r="M19" s="373"/>
      <c r="N19" s="59"/>
      <c r="O19" s="59"/>
    </row>
    <row r="20" spans="1:15" s="3" customFormat="1" ht="17.25" customHeight="1" x14ac:dyDescent="0.2">
      <c r="A20" s="72" t="s">
        <v>125</v>
      </c>
      <c r="B20" s="322">
        <v>2841.3</v>
      </c>
      <c r="C20" s="322">
        <v>342.7</v>
      </c>
      <c r="D20" s="365">
        <v>275.2</v>
      </c>
      <c r="E20" s="372">
        <f>103.95+9.86+792.19+121.263</f>
        <v>1027.2629999999999</v>
      </c>
      <c r="F20" s="365"/>
      <c r="G20" s="365"/>
      <c r="H20" s="372"/>
      <c r="I20" s="365"/>
      <c r="J20" s="372">
        <v>376.230999</v>
      </c>
      <c r="K20" s="372">
        <v>263.68700000000001</v>
      </c>
      <c r="L20" s="365"/>
      <c r="M20" s="373"/>
      <c r="N20" s="59"/>
      <c r="O20" s="59"/>
    </row>
    <row r="21" spans="1:15" s="3" customFormat="1" ht="17.25" customHeight="1" x14ac:dyDescent="0.2">
      <c r="A21" s="78" t="s">
        <v>126</v>
      </c>
      <c r="B21" s="329">
        <v>2483.1</v>
      </c>
      <c r="C21" s="329">
        <v>345.1</v>
      </c>
      <c r="D21" s="374">
        <v>299.89999999999998</v>
      </c>
      <c r="E21" s="329">
        <f>139.76+10.076+877.502+102.255</f>
        <v>1129.5929999999998</v>
      </c>
      <c r="F21" s="329"/>
      <c r="G21" s="329"/>
      <c r="H21" s="329"/>
      <c r="I21" s="329"/>
      <c r="J21" s="374">
        <v>388.9</v>
      </c>
      <c r="K21" s="375">
        <v>2.222</v>
      </c>
      <c r="L21" s="329"/>
      <c r="M21" s="367"/>
      <c r="N21" s="58"/>
      <c r="O21" s="58"/>
    </row>
    <row r="22" spans="1:15" s="3" customFormat="1" ht="17.25" customHeight="1" x14ac:dyDescent="0.2">
      <c r="A22" s="77" t="s">
        <v>289</v>
      </c>
      <c r="B22" s="315">
        <v>2489.1</v>
      </c>
      <c r="C22" s="315">
        <v>349.4</v>
      </c>
      <c r="D22" s="369">
        <v>297.5</v>
      </c>
      <c r="E22" s="315">
        <f>SUM(F22:I22)</f>
        <v>1110.5133660000001</v>
      </c>
      <c r="F22" s="315">
        <f>76.752001+13.728528+0.946016</f>
        <v>91.426545000000004</v>
      </c>
      <c r="G22" s="315">
        <v>43.066676000000001</v>
      </c>
      <c r="H22" s="315">
        <v>894.19192699999996</v>
      </c>
      <c r="I22" s="315">
        <f>0.350762+81.477456</f>
        <v>81.828218000000007</v>
      </c>
      <c r="J22" s="369">
        <v>394.1</v>
      </c>
      <c r="K22" s="315">
        <f>SUM(L22:M22)</f>
        <v>102.798</v>
      </c>
      <c r="L22" s="315">
        <v>102.798</v>
      </c>
      <c r="M22" s="364"/>
      <c r="N22" s="213"/>
      <c r="O22" s="59"/>
    </row>
    <row r="23" spans="1:15" s="3" customFormat="1" ht="17.25" customHeight="1" x14ac:dyDescent="0.2">
      <c r="A23" s="72" t="s">
        <v>128</v>
      </c>
      <c r="B23" s="322">
        <v>2511.1</v>
      </c>
      <c r="C23" s="322">
        <v>355.9</v>
      </c>
      <c r="D23" s="322">
        <v>295.10000000000002</v>
      </c>
      <c r="E23" s="322">
        <f t="shared" ref="E23:E28" si="0">SUM(F23:I23)</f>
        <v>1128.940877</v>
      </c>
      <c r="F23" s="322">
        <f>80.119068+14.300161+0.946016</f>
        <v>95.365245000000002</v>
      </c>
      <c r="G23" s="322">
        <v>52.042544999999997</v>
      </c>
      <c r="H23" s="322">
        <v>906.07717600000001</v>
      </c>
      <c r="I23" s="322">
        <f>3.141313+72.314598</f>
        <v>75.455911</v>
      </c>
      <c r="J23" s="322">
        <v>424.6</v>
      </c>
      <c r="K23" s="322">
        <f t="shared" ref="K23:K29" si="1">SUM(L23:M23)</f>
        <v>64.435000000000002</v>
      </c>
      <c r="L23" s="322">
        <v>64.435000000000002</v>
      </c>
      <c r="M23" s="366"/>
      <c r="N23" s="59"/>
      <c r="O23" s="59"/>
    </row>
    <row r="24" spans="1:15" s="3" customFormat="1" ht="17.25" customHeight="1" x14ac:dyDescent="0.2">
      <c r="A24" s="72" t="s">
        <v>129</v>
      </c>
      <c r="B24" s="322">
        <v>2639.2</v>
      </c>
      <c r="C24" s="322">
        <v>358.8</v>
      </c>
      <c r="D24" s="322">
        <v>287.89999999999998</v>
      </c>
      <c r="E24" s="322">
        <f t="shared" si="0"/>
        <v>1145.3556759999999</v>
      </c>
      <c r="F24" s="322">
        <f>80.89827+14.246394+1.106007</f>
        <v>96.250670999999997</v>
      </c>
      <c r="G24" s="322">
        <v>42.616757</v>
      </c>
      <c r="H24" s="322">
        <v>921.21289100000001</v>
      </c>
      <c r="I24" s="322">
        <f>-0.719006+85.994363</f>
        <v>85.275357000000014</v>
      </c>
      <c r="J24" s="322">
        <v>431</v>
      </c>
      <c r="K24" s="322">
        <f t="shared" si="1"/>
        <v>172.346</v>
      </c>
      <c r="L24" s="322">
        <v>92.346000000000004</v>
      </c>
      <c r="M24" s="366">
        <v>80</v>
      </c>
      <c r="N24" s="59"/>
      <c r="O24" s="59"/>
    </row>
    <row r="25" spans="1:15" s="3" customFormat="1" ht="17.25" customHeight="1" x14ac:dyDescent="0.2">
      <c r="A25" s="78" t="s">
        <v>130</v>
      </c>
      <c r="B25" s="329">
        <v>2445.1999999999998</v>
      </c>
      <c r="C25" s="329">
        <v>362.7</v>
      </c>
      <c r="D25" s="329">
        <v>300.39999999999998</v>
      </c>
      <c r="E25" s="329">
        <f t="shared" si="0"/>
        <v>1076.9008180000001</v>
      </c>
      <c r="F25" s="329">
        <f>11.501225+14.305419+1.500007</f>
        <v>27.306650999999999</v>
      </c>
      <c r="G25" s="329">
        <v>65.079342999999994</v>
      </c>
      <c r="H25" s="329">
        <v>866.78064300000005</v>
      </c>
      <c r="I25" s="329">
        <f>0.182213+117.551968</f>
        <v>117.73418100000001</v>
      </c>
      <c r="J25" s="329">
        <v>350.8</v>
      </c>
      <c r="K25" s="329">
        <f t="shared" si="1"/>
        <v>91.486999999999995</v>
      </c>
      <c r="L25" s="329">
        <v>91.486999999999995</v>
      </c>
      <c r="M25" s="367"/>
      <c r="N25" s="59"/>
      <c r="O25" s="59"/>
    </row>
    <row r="26" spans="1:15" s="3" customFormat="1" ht="17.25" customHeight="1" x14ac:dyDescent="0.2">
      <c r="A26" s="76" t="s">
        <v>131</v>
      </c>
      <c r="B26" s="347">
        <v>2391.1</v>
      </c>
      <c r="C26" s="347">
        <v>376.1</v>
      </c>
      <c r="D26" s="347">
        <v>297.39999999999998</v>
      </c>
      <c r="E26" s="347">
        <f t="shared" si="0"/>
        <v>1065.9480679999999</v>
      </c>
      <c r="F26" s="347">
        <f>2.36377+13.150828+1.146015</f>
        <v>16.660613000000001</v>
      </c>
      <c r="G26" s="347">
        <v>80.464607999999998</v>
      </c>
      <c r="H26" s="347">
        <v>862.89634000000001</v>
      </c>
      <c r="I26" s="347">
        <f>-7.973992+113.900499</f>
        <v>105.926507</v>
      </c>
      <c r="J26" s="347">
        <v>360.9</v>
      </c>
      <c r="K26" s="347">
        <f t="shared" si="1"/>
        <v>0.28999999999999998</v>
      </c>
      <c r="L26" s="347">
        <v>0.28999999999999998</v>
      </c>
      <c r="M26" s="376"/>
      <c r="N26" s="59"/>
      <c r="O26" s="59"/>
    </row>
    <row r="27" spans="1:15" s="7" customFormat="1" ht="17.25" customHeight="1" x14ac:dyDescent="0.2">
      <c r="A27" s="73" t="s">
        <v>132</v>
      </c>
      <c r="B27" s="324">
        <v>2512.4</v>
      </c>
      <c r="C27" s="324">
        <v>380.6</v>
      </c>
      <c r="D27" s="324">
        <v>297.3</v>
      </c>
      <c r="E27" s="324">
        <f t="shared" si="0"/>
        <v>1069.198764</v>
      </c>
      <c r="F27" s="324">
        <f>1.735855+13.526539+1.386506</f>
        <v>16.648900000000001</v>
      </c>
      <c r="G27" s="324">
        <v>67.560981999999996</v>
      </c>
      <c r="H27" s="324">
        <v>868.49612100000002</v>
      </c>
      <c r="I27" s="324">
        <f>0.055+116.437761</f>
        <v>116.492761</v>
      </c>
      <c r="J27" s="324">
        <v>364.75270499999999</v>
      </c>
      <c r="K27" s="324">
        <f t="shared" si="1"/>
        <v>134.57900000000001</v>
      </c>
      <c r="L27" s="324">
        <v>44.579000000000001</v>
      </c>
      <c r="M27" s="377">
        <v>90</v>
      </c>
      <c r="N27" s="57"/>
      <c r="O27" s="57"/>
    </row>
    <row r="28" spans="1:15" s="7" customFormat="1" ht="17.25" customHeight="1" x14ac:dyDescent="0.2">
      <c r="A28" s="73" t="s">
        <v>133</v>
      </c>
      <c r="B28" s="324">
        <v>2456.79</v>
      </c>
      <c r="C28" s="324">
        <v>384.75599999999997</v>
      </c>
      <c r="D28" s="324">
        <v>297.16899999999998</v>
      </c>
      <c r="E28" s="324">
        <f t="shared" si="0"/>
        <v>1076.7980930000001</v>
      </c>
      <c r="F28" s="324">
        <f>2.277583+13.441109+1.26009</f>
        <v>16.978782000000002</v>
      </c>
      <c r="G28" s="324">
        <v>58.903759000000001</v>
      </c>
      <c r="H28" s="324">
        <v>887.12916299999995</v>
      </c>
      <c r="I28" s="324">
        <v>113.786389</v>
      </c>
      <c r="J28" s="324">
        <v>356.86599999999999</v>
      </c>
      <c r="K28" s="324">
        <f t="shared" si="1"/>
        <v>80.444000000000003</v>
      </c>
      <c r="L28" s="324">
        <v>80.444000000000003</v>
      </c>
      <c r="M28" s="377"/>
      <c r="N28" s="57"/>
      <c r="O28" s="57"/>
    </row>
    <row r="29" spans="1:15" s="7" customFormat="1" ht="17.25" customHeight="1" x14ac:dyDescent="0.2">
      <c r="A29" s="134" t="s">
        <v>134</v>
      </c>
      <c r="B29" s="331">
        <v>2543.7549960000001</v>
      </c>
      <c r="C29" s="331">
        <v>402.21151500000002</v>
      </c>
      <c r="D29" s="331">
        <v>318.39263899999997</v>
      </c>
      <c r="E29" s="331">
        <f>SUM(F29:I29)</f>
        <v>1128.0607180000002</v>
      </c>
      <c r="F29" s="331">
        <f>1.787265+13.978394+2.52609</f>
        <v>18.291748999999999</v>
      </c>
      <c r="G29" s="331">
        <v>60.722549999999998</v>
      </c>
      <c r="H29" s="331">
        <v>934.26471000000004</v>
      </c>
      <c r="I29" s="331">
        <f>4.129968+110.651741</f>
        <v>114.78170900000001</v>
      </c>
      <c r="J29" s="331">
        <v>369.67685999999998</v>
      </c>
      <c r="K29" s="331">
        <f t="shared" si="1"/>
        <v>40.130000000000003</v>
      </c>
      <c r="L29" s="331">
        <v>0.13</v>
      </c>
      <c r="M29" s="378">
        <v>40</v>
      </c>
      <c r="N29" s="57"/>
      <c r="O29" s="57"/>
    </row>
    <row r="30" spans="1:15" s="7" customFormat="1" ht="17.25" customHeight="1" x14ac:dyDescent="0.2">
      <c r="A30" s="258" t="s">
        <v>399</v>
      </c>
      <c r="B30" s="317">
        <v>2780.2687089999999</v>
      </c>
      <c r="C30" s="317">
        <v>406.57536399999998</v>
      </c>
      <c r="D30" s="317">
        <v>326.89455700000002</v>
      </c>
      <c r="E30" s="317">
        <v>1322.7680620000001</v>
      </c>
      <c r="F30" s="317">
        <f>1.573981+14.363396+0.986024</f>
        <v>16.923400999999998</v>
      </c>
      <c r="G30" s="317">
        <v>61.568286999999998</v>
      </c>
      <c r="H30" s="317">
        <v>1134.3761340000001</v>
      </c>
      <c r="I30" s="317">
        <f>-0.091851+109.992091</f>
        <v>109.90024</v>
      </c>
      <c r="J30" s="317">
        <v>378.56676700000003</v>
      </c>
      <c r="K30" s="317">
        <v>67</v>
      </c>
      <c r="L30" s="317"/>
      <c r="M30" s="379">
        <v>67</v>
      </c>
      <c r="N30" s="57"/>
      <c r="O30" s="57"/>
    </row>
    <row r="31" spans="1:15" s="7" customFormat="1" ht="17.25" customHeight="1" x14ac:dyDescent="0.2">
      <c r="A31" s="73" t="s">
        <v>429</v>
      </c>
      <c r="B31" s="324">
        <v>2594.0394634999998</v>
      </c>
      <c r="C31" s="324">
        <v>409.45677697999997</v>
      </c>
      <c r="D31" s="324">
        <v>308.09468465999998</v>
      </c>
      <c r="E31" s="324">
        <v>1127.5144876500001</v>
      </c>
      <c r="F31" s="324">
        <f>4.01554301+14.74503063+0.190008</f>
        <v>18.950581639999999</v>
      </c>
      <c r="G31" s="324">
        <v>61.615036000000003</v>
      </c>
      <c r="H31" s="324">
        <v>932.41748056999995</v>
      </c>
      <c r="I31" s="324">
        <f>-1.62485268+116.15624212</f>
        <v>114.53138944</v>
      </c>
      <c r="J31" s="324">
        <v>370.41933344</v>
      </c>
      <c r="K31" s="324">
        <v>79.712000000000003</v>
      </c>
      <c r="L31" s="324">
        <v>19.712</v>
      </c>
      <c r="M31" s="377">
        <v>60</v>
      </c>
      <c r="N31" s="57"/>
      <c r="O31" s="57"/>
    </row>
    <row r="32" spans="1:15" s="7" customFormat="1" ht="17.25" customHeight="1" x14ac:dyDescent="0.2">
      <c r="A32" s="73" t="s">
        <v>443</v>
      </c>
      <c r="B32" s="324">
        <v>2616.2485664000001</v>
      </c>
      <c r="C32" s="324">
        <v>426.82036779999999</v>
      </c>
      <c r="D32" s="324">
        <v>317.51084317999999</v>
      </c>
      <c r="E32" s="324">
        <v>1209.2655973799999</v>
      </c>
      <c r="F32" s="324">
        <f>2.27914+15.198198+5.544749</f>
        <v>23.022086999999999</v>
      </c>
      <c r="G32" s="324">
        <v>60.679251999999998</v>
      </c>
      <c r="H32" s="324">
        <v>991.376938</v>
      </c>
      <c r="I32" s="324">
        <f>-0.451175+134.638495</f>
        <v>134.18732</v>
      </c>
      <c r="J32" s="324">
        <v>386.52083399999998</v>
      </c>
      <c r="K32" s="324">
        <v>2.4441540000000002</v>
      </c>
      <c r="L32" s="324">
        <v>2.4441540000000002</v>
      </c>
      <c r="M32" s="377"/>
      <c r="N32" s="57"/>
      <c r="O32" s="57"/>
    </row>
    <row r="33" spans="1:15" s="7" customFormat="1" ht="17.25" customHeight="1" x14ac:dyDescent="0.2">
      <c r="A33" s="134" t="s">
        <v>521</v>
      </c>
      <c r="B33" s="331">
        <v>2822.3466250000001</v>
      </c>
      <c r="C33" s="331">
        <v>448.02470832</v>
      </c>
      <c r="D33" s="331">
        <v>343.45971814000001</v>
      </c>
      <c r="E33" s="331">
        <v>1289.15754363</v>
      </c>
      <c r="F33" s="331">
        <v>17.673255000000001</v>
      </c>
      <c r="G33" s="331">
        <v>69.042934000000002</v>
      </c>
      <c r="H33" s="331">
        <v>1055.44103133</v>
      </c>
      <c r="I33" s="331">
        <v>147.00032400000001</v>
      </c>
      <c r="J33" s="331">
        <v>399.08537632000002</v>
      </c>
      <c r="K33" s="331">
        <v>45.254453169999998</v>
      </c>
      <c r="L33" s="331">
        <v>25.254453170000001</v>
      </c>
      <c r="M33" s="378">
        <v>20</v>
      </c>
      <c r="N33" s="57"/>
      <c r="O33" s="57"/>
    </row>
    <row r="34" spans="1:15" s="7" customFormat="1" ht="17.25" customHeight="1" x14ac:dyDescent="0.2">
      <c r="A34" s="134" t="s">
        <v>442</v>
      </c>
      <c r="B34" s="331">
        <f>2980.279-3.28</f>
        <v>2976.9989999999998</v>
      </c>
      <c r="C34" s="743">
        <f>479.764-3.28</f>
        <v>476.48400000000004</v>
      </c>
      <c r="D34" s="743">
        <v>376.303</v>
      </c>
      <c r="E34" s="743">
        <v>1377.578</v>
      </c>
      <c r="F34" s="743">
        <f>2.444+16.341+0.74</f>
        <v>19.524999999999999</v>
      </c>
      <c r="G34" s="743">
        <v>75.578000000000003</v>
      </c>
      <c r="H34" s="743">
        <v>1115.415</v>
      </c>
      <c r="I34" s="743">
        <v>167.06</v>
      </c>
      <c r="J34" s="743">
        <v>419.87</v>
      </c>
      <c r="K34" s="744"/>
      <c r="L34" s="738"/>
      <c r="M34" s="739"/>
      <c r="N34" s="57"/>
      <c r="O34" s="57"/>
    </row>
    <row r="35" spans="1:15" s="7" customFormat="1" ht="17.25" customHeight="1" x14ac:dyDescent="0.2">
      <c r="A35" s="74" t="s">
        <v>520</v>
      </c>
      <c r="B35" s="610">
        <v>3068.6950000000002</v>
      </c>
      <c r="C35" s="610">
        <v>477</v>
      </c>
      <c r="D35" s="610">
        <v>362.827</v>
      </c>
      <c r="E35" s="610">
        <v>1479.29</v>
      </c>
      <c r="F35" s="610">
        <f>2.426+16.262+0.569</f>
        <v>19.257000000000001</v>
      </c>
      <c r="G35" s="610">
        <v>81.555999999999997</v>
      </c>
      <c r="H35" s="610">
        <v>1176.2270000000001</v>
      </c>
      <c r="I35" s="610">
        <v>202.25</v>
      </c>
      <c r="J35" s="610">
        <v>418.15800000000002</v>
      </c>
      <c r="K35" s="742"/>
      <c r="L35" s="740"/>
      <c r="M35" s="741"/>
      <c r="N35" s="57"/>
      <c r="O35" s="57"/>
    </row>
    <row r="36" spans="1:15" ht="3.75" customHeight="1" x14ac:dyDescent="0.2"/>
    <row r="37" spans="1:15" ht="15" customHeight="1" x14ac:dyDescent="0.2">
      <c r="A37" s="859" t="s">
        <v>291</v>
      </c>
      <c r="B37" s="860"/>
      <c r="C37" s="860"/>
      <c r="D37" s="860"/>
      <c r="E37" s="860"/>
      <c r="F37" s="860"/>
      <c r="G37" s="860"/>
      <c r="H37" s="860"/>
      <c r="I37" s="860"/>
      <c r="J37" s="860"/>
      <c r="K37" s="860"/>
      <c r="L37" s="861"/>
      <c r="M37" s="861"/>
      <c r="N37" s="844"/>
    </row>
    <row r="38" spans="1:15" ht="41.25" customHeight="1" x14ac:dyDescent="0.2">
      <c r="A38" s="859" t="s">
        <v>395</v>
      </c>
      <c r="B38" s="860"/>
      <c r="C38" s="860"/>
      <c r="D38" s="860"/>
      <c r="E38" s="860"/>
      <c r="F38" s="860"/>
      <c r="G38" s="860"/>
      <c r="H38" s="860"/>
      <c r="I38" s="860"/>
      <c r="J38" s="860"/>
      <c r="K38" s="860"/>
      <c r="L38" s="861"/>
      <c r="M38" s="861"/>
      <c r="N38" s="844"/>
    </row>
    <row r="39" spans="1:15" ht="15" customHeight="1" x14ac:dyDescent="0.2">
      <c r="A39" s="855" t="s">
        <v>292</v>
      </c>
      <c r="B39" s="848"/>
      <c r="C39" s="848"/>
      <c r="D39" s="848"/>
      <c r="E39" s="848"/>
      <c r="F39" s="848"/>
      <c r="G39" s="848"/>
      <c r="H39" s="848"/>
      <c r="I39" s="848"/>
      <c r="J39" s="848"/>
      <c r="K39" s="848"/>
      <c r="L39" s="848"/>
      <c r="M39" s="848"/>
      <c r="N39" s="844"/>
    </row>
    <row r="40" spans="1:15" ht="15" x14ac:dyDescent="0.2">
      <c r="A40" s="843" t="s">
        <v>293</v>
      </c>
      <c r="B40" s="844"/>
      <c r="C40" s="844"/>
      <c r="D40" s="844"/>
      <c r="E40" s="844"/>
      <c r="F40" s="844"/>
      <c r="G40" s="844"/>
      <c r="H40" s="844"/>
      <c r="I40" s="844"/>
      <c r="J40" s="844"/>
      <c r="K40" s="844"/>
      <c r="L40" s="844"/>
      <c r="M40" s="844"/>
      <c r="N40" s="844"/>
    </row>
    <row r="41" spans="1:15" ht="15" x14ac:dyDescent="0.2">
      <c r="A41" s="843" t="s">
        <v>294</v>
      </c>
      <c r="B41" s="844"/>
      <c r="C41" s="844"/>
      <c r="D41" s="844"/>
      <c r="E41" s="844"/>
      <c r="F41" s="844"/>
      <c r="G41" s="844"/>
      <c r="H41" s="844"/>
      <c r="I41" s="844"/>
      <c r="J41" s="844"/>
      <c r="K41" s="844"/>
      <c r="L41" s="844"/>
      <c r="M41" s="844"/>
      <c r="N41" s="844"/>
    </row>
    <row r="42" spans="1:15" ht="15" x14ac:dyDescent="0.2">
      <c r="A42" s="843" t="s">
        <v>295</v>
      </c>
      <c r="B42" s="844"/>
      <c r="C42" s="844"/>
      <c r="D42" s="844"/>
      <c r="E42" s="844"/>
      <c r="F42" s="844"/>
      <c r="G42" s="844"/>
      <c r="H42" s="844"/>
      <c r="I42" s="844"/>
      <c r="J42" s="844"/>
      <c r="K42" s="844"/>
      <c r="L42" s="844"/>
      <c r="M42" s="844"/>
      <c r="N42" s="844"/>
    </row>
    <row r="43" spans="1:15" ht="66" customHeight="1" x14ac:dyDescent="0.2">
      <c r="A43" s="854" t="s">
        <v>371</v>
      </c>
      <c r="B43" s="848"/>
      <c r="C43" s="848"/>
      <c r="D43" s="848"/>
      <c r="E43" s="848"/>
      <c r="F43" s="848"/>
      <c r="G43" s="848"/>
      <c r="H43" s="848"/>
      <c r="I43" s="848"/>
      <c r="J43" s="848"/>
      <c r="K43" s="848"/>
      <c r="L43" s="844"/>
      <c r="M43" s="844"/>
      <c r="N43" s="844"/>
      <c r="O43" s="2"/>
    </row>
    <row r="44" spans="1:15" ht="15" x14ac:dyDescent="0.2">
      <c r="A44" s="843" t="s">
        <v>412</v>
      </c>
      <c r="B44" s="844"/>
      <c r="C44" s="844"/>
      <c r="D44" s="844"/>
      <c r="E44" s="844"/>
      <c r="F44" s="844"/>
      <c r="G44" s="844"/>
      <c r="H44" s="844"/>
      <c r="I44" s="844"/>
      <c r="J44" s="844"/>
      <c r="K44" s="844"/>
      <c r="L44" s="844"/>
      <c r="M44" s="844"/>
      <c r="N44" s="844"/>
    </row>
    <row r="45" spans="1:15" ht="81" customHeight="1" x14ac:dyDescent="0.2">
      <c r="A45" s="855" t="s">
        <v>444</v>
      </c>
      <c r="B45" s="844"/>
      <c r="C45" s="844"/>
      <c r="D45" s="844"/>
      <c r="E45" s="844"/>
      <c r="F45" s="844"/>
      <c r="G45" s="844"/>
      <c r="H45" s="844"/>
      <c r="I45" s="844"/>
      <c r="J45" s="844"/>
      <c r="K45" s="844"/>
      <c r="L45" s="844"/>
      <c r="M45" s="844"/>
      <c r="N45" s="844"/>
    </row>
  </sheetData>
  <mergeCells count="11">
    <mergeCell ref="A42:N42"/>
    <mergeCell ref="A43:N43"/>
    <mergeCell ref="A44:N44"/>
    <mergeCell ref="A45:N45"/>
    <mergeCell ref="L4:M4"/>
    <mergeCell ref="F4:I4"/>
    <mergeCell ref="A37:N37"/>
    <mergeCell ref="A38:N38"/>
    <mergeCell ref="A39:N39"/>
    <mergeCell ref="A40:N40"/>
    <mergeCell ref="A41:N41"/>
  </mergeCells>
  <pageMargins left="0.19685039370078741" right="0.19685039370078741" top="0.19685039370078741" bottom="0.39370078740157483" header="0.31496062992125984" footer="0.19685039370078741"/>
  <pageSetup paperSize="8" scale="90" orientation="landscape" r:id="rId1"/>
  <headerFooter>
    <oddFooter>&amp;L&amp;"Arial Narrow,Standard"DFG, 5. Dezember 2024</oddFooter>
  </headerFooter>
  <ignoredErrors>
    <ignoredError sqref="E22:E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1"/>
  <sheetViews>
    <sheetView view="pageBreakPreview" zoomScale="130" zoomScaleNormal="100" zoomScaleSheetLayoutView="130" workbookViewId="0">
      <pane ySplit="5" topLeftCell="A23" activePane="bottomLeft" state="frozen"/>
      <selection activeCell="H33" sqref="H33"/>
      <selection pane="bottomLeft" activeCell="C36" sqref="C36"/>
    </sheetView>
  </sheetViews>
  <sheetFormatPr baseColWidth="10" defaultColWidth="11.42578125" defaultRowHeight="12.75" x14ac:dyDescent="0.2"/>
  <cols>
    <col min="1" max="1" width="10.140625" style="2" customWidth="1"/>
    <col min="2" max="10" width="8" style="2" customWidth="1"/>
    <col min="11" max="11" width="6.28515625" style="2" customWidth="1"/>
    <col min="12" max="12" width="57.85546875" style="2" customWidth="1"/>
    <col min="13" max="16384" width="11.42578125" style="2"/>
  </cols>
  <sheetData>
    <row r="1" spans="1:11" ht="15.75" x14ac:dyDescent="0.25">
      <c r="A1" s="1" t="s">
        <v>67</v>
      </c>
    </row>
    <row r="2" spans="1:11" ht="12.75" customHeight="1" x14ac:dyDescent="0.2">
      <c r="A2" s="2" t="s">
        <v>288</v>
      </c>
    </row>
    <row r="3" spans="1:11" ht="12.75" customHeight="1" x14ac:dyDescent="0.2"/>
    <row r="4" spans="1:11" s="214" customFormat="1" ht="15" customHeight="1" x14ac:dyDescent="0.2">
      <c r="A4" s="239"/>
      <c r="B4" s="240">
        <v>4</v>
      </c>
      <c r="C4" s="240">
        <v>40</v>
      </c>
      <c r="D4" s="240">
        <v>41</v>
      </c>
      <c r="E4" s="240">
        <v>42</v>
      </c>
      <c r="F4" s="240">
        <v>44</v>
      </c>
      <c r="G4" s="240">
        <v>46</v>
      </c>
      <c r="H4" s="240">
        <v>47</v>
      </c>
      <c r="I4" s="240">
        <v>48</v>
      </c>
      <c r="J4" s="856" t="s">
        <v>376</v>
      </c>
      <c r="K4" s="857"/>
    </row>
    <row r="5" spans="1:11" s="242" customFormat="1" ht="40.5" customHeight="1" x14ac:dyDescent="0.2">
      <c r="A5" s="390" t="s">
        <v>4</v>
      </c>
      <c r="B5" s="238" t="s">
        <v>377</v>
      </c>
      <c r="C5" s="238" t="s">
        <v>378</v>
      </c>
      <c r="D5" s="238" t="s">
        <v>379</v>
      </c>
      <c r="E5" s="238" t="s">
        <v>380</v>
      </c>
      <c r="F5" s="238" t="s">
        <v>381</v>
      </c>
      <c r="G5" s="238" t="s">
        <v>382</v>
      </c>
      <c r="H5" s="238" t="s">
        <v>367</v>
      </c>
      <c r="I5" s="238" t="s">
        <v>383</v>
      </c>
      <c r="J5" s="238" t="s">
        <v>384</v>
      </c>
      <c r="K5" s="241" t="s">
        <v>385</v>
      </c>
    </row>
    <row r="6" spans="1:11" s="3" customFormat="1" ht="17.25" customHeight="1" x14ac:dyDescent="0.2">
      <c r="A6" s="381" t="s">
        <v>111</v>
      </c>
      <c r="B6" s="315">
        <v>1755.8</v>
      </c>
      <c r="C6" s="315">
        <v>603</v>
      </c>
      <c r="D6" s="315">
        <v>7.3</v>
      </c>
      <c r="E6" s="315">
        <v>163.19999999999999</v>
      </c>
      <c r="F6" s="315">
        <v>46.719000000000001</v>
      </c>
      <c r="G6" s="315">
        <f>206.4+18.4+125.5</f>
        <v>350.3</v>
      </c>
      <c r="H6" s="315">
        <v>248.5</v>
      </c>
      <c r="I6" s="315">
        <v>8.891</v>
      </c>
      <c r="J6" s="315"/>
      <c r="K6" s="364"/>
    </row>
    <row r="7" spans="1:11" s="3" customFormat="1" ht="17.25" customHeight="1" x14ac:dyDescent="0.2">
      <c r="A7" s="382" t="s">
        <v>112</v>
      </c>
      <c r="B7" s="322">
        <v>1921.5</v>
      </c>
      <c r="C7" s="322">
        <v>598.4</v>
      </c>
      <c r="D7" s="322">
        <v>7.4</v>
      </c>
      <c r="E7" s="322">
        <v>163</v>
      </c>
      <c r="F7" s="322">
        <v>42.128999999999998</v>
      </c>
      <c r="G7" s="322">
        <f>152.2+19.6+226.9</f>
        <v>398.7</v>
      </c>
      <c r="H7" s="322">
        <v>366.6</v>
      </c>
      <c r="I7" s="322">
        <v>8.9</v>
      </c>
      <c r="J7" s="322"/>
      <c r="K7" s="366"/>
    </row>
    <row r="8" spans="1:11" s="3" customFormat="1" ht="17.25" customHeight="1" x14ac:dyDescent="0.2">
      <c r="A8" s="382" t="s">
        <v>113</v>
      </c>
      <c r="B8" s="322">
        <v>1865.3</v>
      </c>
      <c r="C8" s="322">
        <v>579.29999999999995</v>
      </c>
      <c r="D8" s="322">
        <v>7.6</v>
      </c>
      <c r="E8" s="322">
        <v>174.3</v>
      </c>
      <c r="F8" s="322">
        <v>49.162999999999997</v>
      </c>
      <c r="G8" s="322">
        <f>26.6+160.6+219.1</f>
        <v>406.29999999999995</v>
      </c>
      <c r="H8" s="322">
        <v>380</v>
      </c>
      <c r="I8" s="322"/>
      <c r="J8" s="322"/>
      <c r="K8" s="366"/>
    </row>
    <row r="9" spans="1:11" s="3" customFormat="1" ht="17.25" customHeight="1" x14ac:dyDescent="0.2">
      <c r="A9" s="383" t="s">
        <v>114</v>
      </c>
      <c r="B9" s="329">
        <v>1879.5</v>
      </c>
      <c r="C9" s="329">
        <v>608.20000000000005</v>
      </c>
      <c r="D9" s="329">
        <v>7.7</v>
      </c>
      <c r="E9" s="329">
        <v>172.1</v>
      </c>
      <c r="F9" s="331">
        <v>52.819000000000003</v>
      </c>
      <c r="G9" s="331">
        <f>152.2+19.6+229.1</f>
        <v>400.9</v>
      </c>
      <c r="H9" s="331">
        <v>371</v>
      </c>
      <c r="I9" s="331"/>
      <c r="J9" s="329"/>
      <c r="K9" s="367"/>
    </row>
    <row r="10" spans="1:11" s="3" customFormat="1" ht="17.25" customHeight="1" x14ac:dyDescent="0.2">
      <c r="A10" s="381" t="s">
        <v>115</v>
      </c>
      <c r="B10" s="315">
        <v>1988.2</v>
      </c>
      <c r="C10" s="315">
        <v>590.6</v>
      </c>
      <c r="D10" s="315">
        <v>58.3</v>
      </c>
      <c r="E10" s="315">
        <v>171.57835399999999</v>
      </c>
      <c r="F10" s="315">
        <v>57.588999999999999</v>
      </c>
      <c r="G10" s="315">
        <f>241.631319+16.169996+189.417104</f>
        <v>447.21841899999998</v>
      </c>
      <c r="H10" s="315">
        <v>375</v>
      </c>
      <c r="I10" s="315"/>
      <c r="J10" s="315"/>
      <c r="K10" s="364"/>
    </row>
    <row r="11" spans="1:11" s="3" customFormat="1" ht="17.25" customHeight="1" x14ac:dyDescent="0.2">
      <c r="A11" s="382" t="s">
        <v>116</v>
      </c>
      <c r="B11" s="322">
        <v>2043</v>
      </c>
      <c r="C11" s="322">
        <v>621.79999999999995</v>
      </c>
      <c r="D11" s="322">
        <v>75.099999999999994</v>
      </c>
      <c r="E11" s="322">
        <v>140.80000000000001</v>
      </c>
      <c r="F11" s="322">
        <v>63.965600000000002</v>
      </c>
      <c r="G11" s="322">
        <f>201.5+17.9+237.5</f>
        <v>456.9</v>
      </c>
      <c r="H11" s="322">
        <v>395.7</v>
      </c>
      <c r="I11" s="322"/>
      <c r="J11" s="322"/>
      <c r="K11" s="366"/>
    </row>
    <row r="12" spans="1:11" s="3" customFormat="1" ht="17.25" customHeight="1" x14ac:dyDescent="0.2">
      <c r="A12" s="382" t="s">
        <v>117</v>
      </c>
      <c r="B12" s="322">
        <v>2064.1</v>
      </c>
      <c r="C12" s="322">
        <v>643.1</v>
      </c>
      <c r="D12" s="322">
        <v>65.5</v>
      </c>
      <c r="E12" s="322">
        <v>148.30000000000001</v>
      </c>
      <c r="F12" s="322">
        <v>61.488999999999997</v>
      </c>
      <c r="G12" s="322">
        <f>226.4+19.9+179.3</f>
        <v>425.6</v>
      </c>
      <c r="H12" s="322">
        <v>411.8</v>
      </c>
      <c r="I12" s="322"/>
      <c r="J12" s="322"/>
      <c r="K12" s="366"/>
    </row>
    <row r="13" spans="1:11" s="3" customFormat="1" ht="17.25" customHeight="1" x14ac:dyDescent="0.2">
      <c r="A13" s="383" t="s">
        <v>118</v>
      </c>
      <c r="B13" s="329">
        <v>2138.8000000000002</v>
      </c>
      <c r="C13" s="329">
        <v>662.9</v>
      </c>
      <c r="D13" s="329">
        <v>52.4</v>
      </c>
      <c r="E13" s="329">
        <v>154.5</v>
      </c>
      <c r="F13" s="329">
        <v>80.239000000000004</v>
      </c>
      <c r="G13" s="329">
        <f>205.7+19.9+256.6</f>
        <v>482.20000000000005</v>
      </c>
      <c r="H13" s="329">
        <v>419.4</v>
      </c>
      <c r="I13" s="329"/>
      <c r="J13" s="329"/>
      <c r="K13" s="367"/>
    </row>
    <row r="14" spans="1:11" s="3" customFormat="1" ht="17.25" customHeight="1" x14ac:dyDescent="0.2">
      <c r="A14" s="381" t="s">
        <v>119</v>
      </c>
      <c r="B14" s="315">
        <v>2838.8</v>
      </c>
      <c r="C14" s="315">
        <v>695</v>
      </c>
      <c r="D14" s="315">
        <v>51.2</v>
      </c>
      <c r="E14" s="315">
        <v>163.4</v>
      </c>
      <c r="F14" s="315">
        <v>92.448999999999998</v>
      </c>
      <c r="G14" s="315">
        <f>791.443+17.349+227.488</f>
        <v>1036.28</v>
      </c>
      <c r="H14" s="315">
        <v>423.5</v>
      </c>
      <c r="I14" s="315">
        <v>511.2</v>
      </c>
      <c r="J14" s="315"/>
      <c r="K14" s="364"/>
    </row>
    <row r="15" spans="1:11" s="3" customFormat="1" ht="17.25" customHeight="1" x14ac:dyDescent="0.2">
      <c r="A15" s="382" t="s">
        <v>120</v>
      </c>
      <c r="B15" s="322">
        <v>2568.3000000000002</v>
      </c>
      <c r="C15" s="322">
        <v>733.5</v>
      </c>
      <c r="D15" s="322">
        <v>45.3</v>
      </c>
      <c r="E15" s="322">
        <v>140.5</v>
      </c>
      <c r="F15" s="322">
        <v>336.68299999999999</v>
      </c>
      <c r="G15" s="322">
        <f>264.552+15.558+344.988</f>
        <v>625.09799999999996</v>
      </c>
      <c r="H15" s="322">
        <v>430.1</v>
      </c>
      <c r="I15" s="322">
        <v>235.8</v>
      </c>
      <c r="J15" s="322"/>
      <c r="K15" s="366"/>
    </row>
    <row r="16" spans="1:11" s="3" customFormat="1" ht="17.25" customHeight="1" x14ac:dyDescent="0.2">
      <c r="A16" s="382" t="s">
        <v>121</v>
      </c>
      <c r="B16" s="322">
        <v>2384.3000000000002</v>
      </c>
      <c r="C16" s="322">
        <v>757.3</v>
      </c>
      <c r="D16" s="322">
        <v>39.700000000000003</v>
      </c>
      <c r="E16" s="322">
        <v>141.5</v>
      </c>
      <c r="F16" s="322">
        <v>108.598</v>
      </c>
      <c r="G16" s="322">
        <f>408.11+12.826+242.158</f>
        <v>663.09400000000005</v>
      </c>
      <c r="H16" s="322">
        <v>439</v>
      </c>
      <c r="I16" s="322"/>
      <c r="J16" s="322"/>
      <c r="K16" s="366"/>
    </row>
    <row r="17" spans="1:12" s="3" customFormat="1" ht="17.25" customHeight="1" x14ac:dyDescent="0.2">
      <c r="A17" s="383" t="s">
        <v>122</v>
      </c>
      <c r="B17" s="329">
        <v>2569.4</v>
      </c>
      <c r="C17" s="329">
        <v>767.3</v>
      </c>
      <c r="D17" s="329">
        <v>49.7</v>
      </c>
      <c r="E17" s="329">
        <v>145.5</v>
      </c>
      <c r="F17" s="329">
        <v>59.573</v>
      </c>
      <c r="G17" s="329">
        <f>349.392+12.019+531.874</f>
        <v>893.28500000000008</v>
      </c>
      <c r="H17" s="329">
        <v>358</v>
      </c>
      <c r="I17" s="329"/>
      <c r="J17" s="329"/>
      <c r="K17" s="367"/>
    </row>
    <row r="18" spans="1:12" s="3" customFormat="1" ht="17.25" customHeight="1" x14ac:dyDescent="0.2">
      <c r="A18" s="381" t="s">
        <v>123</v>
      </c>
      <c r="B18" s="315">
        <v>2687.3</v>
      </c>
      <c r="C18" s="315">
        <v>675.9</v>
      </c>
      <c r="D18" s="315">
        <v>53.9</v>
      </c>
      <c r="E18" s="315">
        <v>158</v>
      </c>
      <c r="F18" s="315">
        <v>315.82600000000002</v>
      </c>
      <c r="G18" s="315">
        <f>499.26+14.965+326.992</f>
        <v>841.2170000000001</v>
      </c>
      <c r="H18" s="315">
        <v>355.1</v>
      </c>
      <c r="I18" s="315">
        <v>195</v>
      </c>
      <c r="J18" s="315"/>
      <c r="K18" s="364"/>
    </row>
    <row r="19" spans="1:12" s="3" customFormat="1" ht="17.25" customHeight="1" x14ac:dyDescent="0.2">
      <c r="A19" s="382" t="s">
        <v>124</v>
      </c>
      <c r="B19" s="322">
        <v>2517.3000000000002</v>
      </c>
      <c r="C19" s="322">
        <v>703.9</v>
      </c>
      <c r="D19" s="322">
        <v>53.8</v>
      </c>
      <c r="E19" s="322">
        <v>160.1</v>
      </c>
      <c r="F19" s="322">
        <v>147.42699999999999</v>
      </c>
      <c r="G19" s="322">
        <f>315.48+13.939+495.411</f>
        <v>824.83</v>
      </c>
      <c r="H19" s="322">
        <v>369.8</v>
      </c>
      <c r="I19" s="322">
        <v>14.303000000000001</v>
      </c>
      <c r="J19" s="322"/>
      <c r="K19" s="366"/>
    </row>
    <row r="20" spans="1:12" s="3" customFormat="1" ht="17.25" customHeight="1" x14ac:dyDescent="0.2">
      <c r="A20" s="382" t="s">
        <v>125</v>
      </c>
      <c r="B20" s="322">
        <v>2686.3</v>
      </c>
      <c r="C20" s="322">
        <v>674.4</v>
      </c>
      <c r="D20" s="322">
        <v>53.7</v>
      </c>
      <c r="E20" s="322">
        <v>171.4</v>
      </c>
      <c r="F20" s="322">
        <v>140.017</v>
      </c>
      <c r="G20" s="322">
        <f>477.592+13.557+305.489</f>
        <v>796.63799999999992</v>
      </c>
      <c r="H20" s="322">
        <v>376.2</v>
      </c>
      <c r="I20" s="322">
        <v>5.7984</v>
      </c>
      <c r="J20" s="322"/>
      <c r="K20" s="366"/>
    </row>
    <row r="21" spans="1:12" s="3" customFormat="1" ht="17.25" customHeight="1" x14ac:dyDescent="0.2">
      <c r="A21" s="383" t="s">
        <v>126</v>
      </c>
      <c r="B21" s="329">
        <v>2531.9</v>
      </c>
      <c r="C21" s="329">
        <v>688.3</v>
      </c>
      <c r="D21" s="329">
        <v>84.2</v>
      </c>
      <c r="E21" s="329">
        <v>176.9</v>
      </c>
      <c r="F21" s="329">
        <v>128.68299999999999</v>
      </c>
      <c r="G21" s="329">
        <f>456.158+36.591+310.188</f>
        <v>802.93700000000001</v>
      </c>
      <c r="H21" s="329">
        <v>388.9</v>
      </c>
      <c r="I21" s="329">
        <v>7.2729999999999997</v>
      </c>
      <c r="J21" s="329"/>
      <c r="K21" s="367"/>
    </row>
    <row r="22" spans="1:12" s="3" customFormat="1" ht="17.25" customHeight="1" x14ac:dyDescent="0.2">
      <c r="A22" s="381" t="s">
        <v>289</v>
      </c>
      <c r="B22" s="315">
        <v>2455.5</v>
      </c>
      <c r="C22" s="315">
        <v>704.5</v>
      </c>
      <c r="D22" s="315">
        <v>84.4</v>
      </c>
      <c r="E22" s="315">
        <v>173.1</v>
      </c>
      <c r="F22" s="315">
        <v>108.54900000000001</v>
      </c>
      <c r="G22" s="315">
        <v>781.2</v>
      </c>
      <c r="H22" s="315">
        <v>394.1</v>
      </c>
      <c r="I22" s="315">
        <f t="shared" ref="I22:I29" si="0">J22+K22</f>
        <v>29.716999999999999</v>
      </c>
      <c r="J22" s="315">
        <v>29.716999999999999</v>
      </c>
      <c r="K22" s="364"/>
      <c r="L22" s="8"/>
    </row>
    <row r="23" spans="1:12" s="3" customFormat="1" ht="17.25" customHeight="1" x14ac:dyDescent="0.2">
      <c r="A23" s="382" t="s">
        <v>128</v>
      </c>
      <c r="B23" s="322">
        <v>2566.3000000000002</v>
      </c>
      <c r="C23" s="322">
        <v>761.3</v>
      </c>
      <c r="D23" s="322">
        <v>73.7</v>
      </c>
      <c r="E23" s="322">
        <v>176.3</v>
      </c>
      <c r="F23" s="322">
        <v>103.596</v>
      </c>
      <c r="G23" s="322">
        <v>765.2</v>
      </c>
      <c r="H23" s="322">
        <v>424.6</v>
      </c>
      <c r="I23" s="322">
        <f t="shared" si="0"/>
        <v>75.871000000000009</v>
      </c>
      <c r="J23" s="322">
        <v>69.492000000000004</v>
      </c>
      <c r="K23" s="366">
        <v>6.3789999999999996</v>
      </c>
    </row>
    <row r="24" spans="1:12" s="3" customFormat="1" ht="17.25" customHeight="1" x14ac:dyDescent="0.2">
      <c r="A24" s="382" t="s">
        <v>129</v>
      </c>
      <c r="B24" s="322">
        <v>2655.9</v>
      </c>
      <c r="C24" s="322">
        <v>744.2</v>
      </c>
      <c r="D24" s="322">
        <v>105</v>
      </c>
      <c r="E24" s="322">
        <v>173</v>
      </c>
      <c r="F24" s="324">
        <v>98.236000000000004</v>
      </c>
      <c r="G24" s="324">
        <v>795.3</v>
      </c>
      <c r="H24" s="324">
        <v>431</v>
      </c>
      <c r="I24" s="324">
        <f t="shared" si="0"/>
        <v>129.18799999999999</v>
      </c>
      <c r="J24" s="324">
        <v>120.779</v>
      </c>
      <c r="K24" s="377">
        <v>8.4090000000000007</v>
      </c>
    </row>
    <row r="25" spans="1:12" s="3" customFormat="1" ht="17.25" customHeight="1" x14ac:dyDescent="0.2">
      <c r="A25" s="383" t="s">
        <v>130</v>
      </c>
      <c r="B25" s="329">
        <v>2393.6999999999998</v>
      </c>
      <c r="C25" s="329">
        <v>751.8</v>
      </c>
      <c r="D25" s="329">
        <v>81.5</v>
      </c>
      <c r="E25" s="329">
        <v>162.69999999999999</v>
      </c>
      <c r="F25" s="329">
        <v>100.313</v>
      </c>
      <c r="G25" s="329">
        <v>708</v>
      </c>
      <c r="H25" s="329">
        <v>350.8</v>
      </c>
      <c r="I25" s="329">
        <f t="shared" si="0"/>
        <v>23.613</v>
      </c>
      <c r="J25" s="329">
        <v>19.613</v>
      </c>
      <c r="K25" s="367">
        <v>4</v>
      </c>
    </row>
    <row r="26" spans="1:12" s="3" customFormat="1" ht="17.25" customHeight="1" x14ac:dyDescent="0.2">
      <c r="A26" s="384" t="s">
        <v>131</v>
      </c>
      <c r="B26" s="347">
        <v>2519.9</v>
      </c>
      <c r="C26" s="347">
        <v>775.2</v>
      </c>
      <c r="D26" s="347">
        <v>90</v>
      </c>
      <c r="E26" s="347">
        <v>161.30000000000001</v>
      </c>
      <c r="F26" s="347">
        <v>118.456</v>
      </c>
      <c r="G26" s="347">
        <v>730.4</v>
      </c>
      <c r="H26" s="347">
        <v>360.9</v>
      </c>
      <c r="I26" s="347">
        <f t="shared" si="0"/>
        <v>51.134</v>
      </c>
      <c r="J26" s="347">
        <v>44.5</v>
      </c>
      <c r="K26" s="376">
        <v>6.6340000000000003</v>
      </c>
    </row>
    <row r="27" spans="1:12" s="7" customFormat="1" ht="17.25" customHeight="1" x14ac:dyDescent="0.2">
      <c r="A27" s="385" t="s">
        <v>132</v>
      </c>
      <c r="B27" s="324">
        <v>2515.1</v>
      </c>
      <c r="C27" s="324">
        <v>803.3</v>
      </c>
      <c r="D27" s="324">
        <v>95.2</v>
      </c>
      <c r="E27" s="324">
        <v>175.2</v>
      </c>
      <c r="F27" s="324">
        <v>110.684</v>
      </c>
      <c r="G27" s="324">
        <v>728.9</v>
      </c>
      <c r="H27" s="324">
        <v>364.75270499999999</v>
      </c>
      <c r="I27" s="324">
        <v>32.08</v>
      </c>
      <c r="J27" s="324">
        <v>22.452999999999999</v>
      </c>
      <c r="K27" s="377">
        <v>9.6050000000000004</v>
      </c>
    </row>
    <row r="28" spans="1:12" s="7" customFormat="1" ht="17.25" customHeight="1" x14ac:dyDescent="0.2">
      <c r="A28" s="385" t="s">
        <v>133</v>
      </c>
      <c r="B28" s="324">
        <v>2510.4070000000002</v>
      </c>
      <c r="C28" s="324">
        <v>806.9</v>
      </c>
      <c r="D28" s="324">
        <v>101.913</v>
      </c>
      <c r="E28" s="324">
        <v>161.34299999999999</v>
      </c>
      <c r="F28" s="324">
        <v>123.95099999999999</v>
      </c>
      <c r="G28" s="324">
        <v>746.05100000000004</v>
      </c>
      <c r="H28" s="324">
        <v>356.86599999999999</v>
      </c>
      <c r="I28" s="324">
        <f t="shared" si="0"/>
        <v>18.564</v>
      </c>
      <c r="J28" s="324">
        <v>11.516</v>
      </c>
      <c r="K28" s="377">
        <v>7.048</v>
      </c>
    </row>
    <row r="29" spans="1:12" s="34" customFormat="1" ht="17.25" customHeight="1" x14ac:dyDescent="0.2">
      <c r="A29" s="386" t="s">
        <v>134</v>
      </c>
      <c r="B29" s="331">
        <v>2625.6546429999999</v>
      </c>
      <c r="C29" s="331">
        <v>836.04792499999996</v>
      </c>
      <c r="D29" s="331">
        <v>134.446032</v>
      </c>
      <c r="E29" s="331">
        <v>171.56026600000001</v>
      </c>
      <c r="F29" s="331">
        <v>128.09985599999999</v>
      </c>
      <c r="G29" s="331">
        <v>740.28286200000002</v>
      </c>
      <c r="H29" s="331">
        <v>369.67685999999998</v>
      </c>
      <c r="I29" s="331">
        <f t="shared" si="0"/>
        <v>43.258128999999997</v>
      </c>
      <c r="J29" s="331">
        <v>38.150129</v>
      </c>
      <c r="K29" s="378">
        <v>5.1079999999999997</v>
      </c>
    </row>
    <row r="30" spans="1:12" s="34" customFormat="1" ht="17.25" customHeight="1" x14ac:dyDescent="0.2">
      <c r="A30" s="387" t="s">
        <v>399</v>
      </c>
      <c r="B30" s="317">
        <v>2914.5693620000002</v>
      </c>
      <c r="C30" s="317">
        <v>819.23738700000001</v>
      </c>
      <c r="D30" s="317">
        <v>176.568409</v>
      </c>
      <c r="E30" s="317">
        <v>226.69435200000001</v>
      </c>
      <c r="F30" s="317">
        <v>127.513544</v>
      </c>
      <c r="G30" s="317">
        <v>929.96764099999996</v>
      </c>
      <c r="H30" s="317">
        <v>378.56676700000003</v>
      </c>
      <c r="I30" s="317">
        <f t="shared" ref="I30" si="1">J30+K30</f>
        <v>61.866125999999994</v>
      </c>
      <c r="J30" s="317">
        <v>56.436228999999997</v>
      </c>
      <c r="K30" s="379">
        <v>5.4298970000000004</v>
      </c>
    </row>
    <row r="31" spans="1:12" s="7" customFormat="1" ht="17.25" customHeight="1" x14ac:dyDescent="0.2">
      <c r="A31" s="385" t="s">
        <v>429</v>
      </c>
      <c r="B31" s="324">
        <v>2799.6245775000002</v>
      </c>
      <c r="C31" s="324">
        <v>910.47530193</v>
      </c>
      <c r="D31" s="324">
        <v>141.65873597000001</v>
      </c>
      <c r="E31" s="324">
        <v>203.74353431</v>
      </c>
      <c r="F31" s="324">
        <v>143.31632458000001</v>
      </c>
      <c r="G31" s="324">
        <v>772.08787496000002</v>
      </c>
      <c r="H31" s="324">
        <v>370.41933344</v>
      </c>
      <c r="I31" s="324">
        <v>69.422720400000003</v>
      </c>
      <c r="J31" s="324">
        <v>61.126774760000004</v>
      </c>
      <c r="K31" s="377">
        <v>8.2959456399999993</v>
      </c>
    </row>
    <row r="32" spans="1:12" s="34" customFormat="1" ht="17.25" customHeight="1" x14ac:dyDescent="0.2">
      <c r="A32" s="627" t="s">
        <v>443</v>
      </c>
      <c r="B32" s="566">
        <v>2778.6143848800002</v>
      </c>
      <c r="C32" s="566">
        <v>940.35758094000005</v>
      </c>
      <c r="D32" s="566">
        <v>69.081148290000002</v>
      </c>
      <c r="E32" s="566">
        <v>215.00286560000001</v>
      </c>
      <c r="F32" s="566">
        <v>141.36246882</v>
      </c>
      <c r="G32" s="566">
        <v>796.34193416000005</v>
      </c>
      <c r="H32" s="566">
        <v>386.52083372999999</v>
      </c>
      <c r="I32" s="566">
        <v>44.353129430000003</v>
      </c>
      <c r="J32" s="566">
        <v>25.797216379999998</v>
      </c>
      <c r="K32" s="628">
        <v>18.555913050000001</v>
      </c>
    </row>
    <row r="33" spans="1:12" s="34" customFormat="1" ht="17.25" customHeight="1" x14ac:dyDescent="0.2">
      <c r="A33" s="626" t="s">
        <v>521</v>
      </c>
      <c r="B33" s="746">
        <v>2910.0440781000002</v>
      </c>
      <c r="C33" s="746">
        <v>987.70458959999996</v>
      </c>
      <c r="D33" s="746">
        <v>82.374174679999996</v>
      </c>
      <c r="E33" s="746">
        <v>222.48589283999999</v>
      </c>
      <c r="F33" s="746">
        <v>168.72527495</v>
      </c>
      <c r="G33" s="746">
        <v>788.03431240999998</v>
      </c>
      <c r="H33" s="746">
        <v>399.08537632000002</v>
      </c>
      <c r="I33" s="746">
        <v>48.609350849999998</v>
      </c>
      <c r="J33" s="746">
        <v>25.148393779999999</v>
      </c>
      <c r="K33" s="747">
        <v>23.460957069999999</v>
      </c>
    </row>
    <row r="34" spans="1:12" s="34" customFormat="1" ht="17.25" customHeight="1" x14ac:dyDescent="0.2">
      <c r="A34" s="626" t="s">
        <v>442</v>
      </c>
      <c r="B34" s="746">
        <v>2889.7660000000001</v>
      </c>
      <c r="C34" s="746">
        <v>956.4</v>
      </c>
      <c r="D34" s="746">
        <v>79.010000000000005</v>
      </c>
      <c r="E34" s="746">
        <v>203.256</v>
      </c>
      <c r="F34" s="746">
        <v>158.79300000000001</v>
      </c>
      <c r="G34" s="746">
        <v>798.899</v>
      </c>
      <c r="H34" s="746">
        <v>419.87</v>
      </c>
      <c r="I34" s="746">
        <v>31.08</v>
      </c>
      <c r="J34" s="745"/>
      <c r="K34" s="747">
        <v>31.08</v>
      </c>
    </row>
    <row r="35" spans="1:12" s="34" customFormat="1" ht="17.25" customHeight="1" x14ac:dyDescent="0.2">
      <c r="A35" s="388" t="s">
        <v>520</v>
      </c>
      <c r="B35" s="389">
        <v>2957.3470000000002</v>
      </c>
      <c r="C35" s="389">
        <v>983.9</v>
      </c>
      <c r="D35" s="389">
        <v>102.81699999999999</v>
      </c>
      <c r="E35" s="389">
        <v>198.95099999999999</v>
      </c>
      <c r="F35" s="389">
        <v>149.73500000000001</v>
      </c>
      <c r="G35" s="389">
        <v>796.548</v>
      </c>
      <c r="H35" s="389">
        <v>418.15800000000002</v>
      </c>
      <c r="I35" s="389">
        <v>30.792000000000002</v>
      </c>
      <c r="J35" s="742"/>
      <c r="K35" s="748">
        <v>30.792000000000002</v>
      </c>
    </row>
    <row r="36" spans="1:12" s="34" customFormat="1" ht="3.75" customHeight="1" x14ac:dyDescent="0.2">
      <c r="A36" s="221"/>
      <c r="B36" s="60"/>
      <c r="C36" s="60"/>
      <c r="D36" s="60"/>
      <c r="E36" s="60"/>
      <c r="F36" s="60"/>
      <c r="G36" s="60"/>
      <c r="H36" s="60"/>
      <c r="I36" s="60"/>
      <c r="J36" s="60"/>
      <c r="K36" s="60"/>
    </row>
    <row r="37" spans="1:12" ht="15" customHeight="1" x14ac:dyDescent="0.2">
      <c r="A37" s="859" t="s">
        <v>296</v>
      </c>
      <c r="B37" s="860"/>
      <c r="C37" s="860"/>
      <c r="D37" s="860"/>
      <c r="E37" s="860"/>
      <c r="F37" s="860"/>
      <c r="G37" s="860"/>
      <c r="H37" s="860"/>
      <c r="I37" s="860"/>
      <c r="J37" s="860"/>
      <c r="K37" s="863"/>
      <c r="L37" s="848"/>
    </row>
    <row r="38" spans="1:12" ht="15" customHeight="1" x14ac:dyDescent="0.2">
      <c r="A38" s="859" t="s">
        <v>297</v>
      </c>
      <c r="B38" s="848"/>
      <c r="C38" s="848"/>
      <c r="D38" s="848"/>
      <c r="E38" s="848"/>
      <c r="F38" s="848"/>
      <c r="G38" s="848"/>
      <c r="H38" s="848"/>
      <c r="I38" s="848"/>
      <c r="J38" s="848"/>
      <c r="K38" s="848"/>
      <c r="L38" s="848"/>
    </row>
    <row r="39" spans="1:12" ht="55.5" customHeight="1" x14ac:dyDescent="0.2">
      <c r="A39" s="862" t="s">
        <v>375</v>
      </c>
      <c r="B39" s="861"/>
      <c r="C39" s="861"/>
      <c r="D39" s="861"/>
      <c r="E39" s="861"/>
      <c r="F39" s="861"/>
      <c r="G39" s="861"/>
      <c r="H39" s="861"/>
      <c r="I39" s="861"/>
      <c r="J39" s="861"/>
      <c r="K39" s="861"/>
      <c r="L39" s="844"/>
    </row>
    <row r="40" spans="1:12" ht="15" customHeight="1" x14ac:dyDescent="0.2">
      <c r="A40" s="854" t="s">
        <v>413</v>
      </c>
      <c r="B40" s="848"/>
      <c r="C40" s="848"/>
      <c r="D40" s="848"/>
      <c r="E40" s="848"/>
      <c r="F40" s="848"/>
      <c r="G40" s="848"/>
      <c r="H40" s="848"/>
      <c r="I40" s="848"/>
      <c r="J40" s="848"/>
      <c r="K40" s="848"/>
      <c r="L40" s="848"/>
    </row>
    <row r="41" spans="1:12" ht="15" x14ac:dyDescent="0.2">
      <c r="A41" s="852" t="s">
        <v>445</v>
      </c>
      <c r="B41" s="844"/>
      <c r="C41" s="844"/>
      <c r="D41" s="844"/>
      <c r="E41" s="844"/>
      <c r="F41" s="844"/>
      <c r="G41" s="844"/>
      <c r="H41" s="844"/>
      <c r="I41" s="844"/>
      <c r="J41" s="844"/>
      <c r="K41" s="844"/>
      <c r="L41" s="844"/>
    </row>
  </sheetData>
  <mergeCells count="6">
    <mergeCell ref="A40:L40"/>
    <mergeCell ref="A41:L41"/>
    <mergeCell ref="J4:K4"/>
    <mergeCell ref="A39:L39"/>
    <mergeCell ref="A38:L38"/>
    <mergeCell ref="A37:L37"/>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49"/>
  <sheetViews>
    <sheetView view="pageBreakPreview" zoomScale="160" zoomScaleNormal="100" zoomScaleSheetLayoutView="160" workbookViewId="0">
      <pane ySplit="5" topLeftCell="A29" activePane="bottomLeft" state="frozen"/>
      <selection activeCell="H33" sqref="H33"/>
      <selection pane="bottomLeft" activeCell="I30" sqref="I30"/>
    </sheetView>
  </sheetViews>
  <sheetFormatPr baseColWidth="10" defaultColWidth="11.42578125" defaultRowHeight="12.75" x14ac:dyDescent="0.2"/>
  <cols>
    <col min="1" max="1" width="7" style="2" customWidth="1"/>
    <col min="2" max="8" width="9.7109375" style="2" customWidth="1"/>
    <col min="9" max="9" width="71.85546875" style="2" customWidth="1"/>
    <col min="10" max="16384" width="11.42578125" style="2"/>
  </cols>
  <sheetData>
    <row r="1" spans="1:8" ht="15.75" customHeight="1" x14ac:dyDescent="0.25">
      <c r="A1" s="1" t="s">
        <v>14</v>
      </c>
    </row>
    <row r="2" spans="1:8" ht="12.75" customHeight="1" x14ac:dyDescent="0.2">
      <c r="A2" s="2" t="s">
        <v>290</v>
      </c>
    </row>
    <row r="3" spans="1:8" ht="12.75" customHeight="1" x14ac:dyDescent="0.2">
      <c r="H3" s="5" t="s">
        <v>15</v>
      </c>
    </row>
    <row r="4" spans="1:8" ht="15" x14ac:dyDescent="0.2">
      <c r="A4" s="79"/>
      <c r="B4" s="864" t="s">
        <v>308</v>
      </c>
      <c r="C4" s="865"/>
      <c r="D4" s="866"/>
      <c r="E4" s="215" t="s">
        <v>309</v>
      </c>
      <c r="F4" s="864" t="s">
        <v>29</v>
      </c>
      <c r="G4" s="867"/>
      <c r="H4" s="868" t="s">
        <v>77</v>
      </c>
    </row>
    <row r="5" spans="1:8" s="9" customFormat="1" ht="39" customHeight="1" x14ac:dyDescent="0.2">
      <c r="A5" s="80" t="s">
        <v>4</v>
      </c>
      <c r="B5" s="64" t="s">
        <v>298</v>
      </c>
      <c r="C5" s="55" t="s">
        <v>299</v>
      </c>
      <c r="D5" s="65" t="s">
        <v>1</v>
      </c>
      <c r="E5" s="66" t="s">
        <v>300</v>
      </c>
      <c r="F5" s="64" t="s">
        <v>30</v>
      </c>
      <c r="G5" s="67" t="s">
        <v>32</v>
      </c>
      <c r="H5" s="869"/>
    </row>
    <row r="6" spans="1:8" s="10" customFormat="1" ht="17.25" customHeight="1" x14ac:dyDescent="0.2">
      <c r="A6" s="81">
        <v>1997</v>
      </c>
      <c r="B6" s="391">
        <v>327.10000000000002</v>
      </c>
      <c r="C6" s="392">
        <v>324.39999999999998</v>
      </c>
      <c r="D6" s="393">
        <f>C6-B6</f>
        <v>-2.7000000000000455</v>
      </c>
      <c r="E6" s="394">
        <v>-21.1</v>
      </c>
      <c r="F6" s="391">
        <f t="shared" ref="F6:F27" si="0">D6-E6</f>
        <v>18.399999999999956</v>
      </c>
      <c r="G6" s="395">
        <f t="shared" ref="G6:G27" si="1">F6/B6</f>
        <v>5.6251910730663268E-2</v>
      </c>
      <c r="H6" s="396">
        <v>-12.698</v>
      </c>
    </row>
    <row r="7" spans="1:8" s="10" customFormat="1" ht="17.25" customHeight="1" x14ac:dyDescent="0.2">
      <c r="A7" s="82">
        <v>1998</v>
      </c>
      <c r="B7" s="397">
        <v>341.1</v>
      </c>
      <c r="C7" s="398">
        <v>340.3</v>
      </c>
      <c r="D7" s="399">
        <f t="shared" ref="D7:D27" si="2">C7-B7</f>
        <v>-0.80000000000001137</v>
      </c>
      <c r="E7" s="400">
        <v>-22.9</v>
      </c>
      <c r="F7" s="397">
        <f t="shared" si="0"/>
        <v>22.099999999999987</v>
      </c>
      <c r="G7" s="401">
        <f t="shared" si="1"/>
        <v>6.4790384051597733E-2</v>
      </c>
      <c r="H7" s="402">
        <f t="shared" ref="H7:H13" si="3">H6+D7</f>
        <v>-13.498000000000012</v>
      </c>
    </row>
    <row r="8" spans="1:8" s="10" customFormat="1" ht="17.25" customHeight="1" x14ac:dyDescent="0.2">
      <c r="A8" s="82">
        <v>1999</v>
      </c>
      <c r="B8" s="397">
        <v>368</v>
      </c>
      <c r="C8" s="398">
        <v>351.5</v>
      </c>
      <c r="D8" s="399">
        <f t="shared" si="2"/>
        <v>-16.5</v>
      </c>
      <c r="E8" s="400">
        <v>-20.399999999999999</v>
      </c>
      <c r="F8" s="397">
        <f t="shared" si="0"/>
        <v>3.8999999999999986</v>
      </c>
      <c r="G8" s="401">
        <f t="shared" si="1"/>
        <v>1.0597826086956518E-2</v>
      </c>
      <c r="H8" s="402">
        <f t="shared" si="3"/>
        <v>-29.998000000000012</v>
      </c>
    </row>
    <row r="9" spans="1:8" s="10" customFormat="1" ht="17.25" customHeight="1" x14ac:dyDescent="0.2">
      <c r="A9" s="83">
        <v>2000</v>
      </c>
      <c r="B9" s="403">
        <v>339.9</v>
      </c>
      <c r="C9" s="404">
        <v>328.5</v>
      </c>
      <c r="D9" s="405">
        <f t="shared" si="2"/>
        <v>-11.399999999999977</v>
      </c>
      <c r="E9" s="406">
        <v>-21.1</v>
      </c>
      <c r="F9" s="403">
        <f t="shared" si="0"/>
        <v>9.7000000000000242</v>
      </c>
      <c r="G9" s="407">
        <f t="shared" si="1"/>
        <v>2.8537805236834437E-2</v>
      </c>
      <c r="H9" s="408">
        <f>H8+D9</f>
        <v>-41.397999999999989</v>
      </c>
    </row>
    <row r="10" spans="1:8" s="10" customFormat="1" ht="17.25" customHeight="1" x14ac:dyDescent="0.2">
      <c r="A10" s="81">
        <v>2001</v>
      </c>
      <c r="B10" s="391">
        <v>355</v>
      </c>
      <c r="C10" s="392">
        <v>342.7</v>
      </c>
      <c r="D10" s="393">
        <f t="shared" si="2"/>
        <v>-12.300000000000011</v>
      </c>
      <c r="E10" s="394">
        <v>-17.3</v>
      </c>
      <c r="F10" s="391">
        <f t="shared" si="0"/>
        <v>4.9999999999999893</v>
      </c>
      <c r="G10" s="395">
        <f t="shared" si="1"/>
        <v>1.4084507042253492E-2</v>
      </c>
      <c r="H10" s="396">
        <f t="shared" si="3"/>
        <v>-53.698</v>
      </c>
    </row>
    <row r="11" spans="1:8" s="10" customFormat="1" ht="17.25" customHeight="1" x14ac:dyDescent="0.2">
      <c r="A11" s="82">
        <v>2002</v>
      </c>
      <c r="B11" s="397">
        <v>387.423</v>
      </c>
      <c r="C11" s="398">
        <v>381.67399999999998</v>
      </c>
      <c r="D11" s="399">
        <f t="shared" si="2"/>
        <v>-5.7490000000000236</v>
      </c>
      <c r="E11" s="400">
        <v>-27.8</v>
      </c>
      <c r="F11" s="397">
        <f t="shared" si="0"/>
        <v>22.050999999999977</v>
      </c>
      <c r="G11" s="401">
        <f t="shared" si="1"/>
        <v>5.6917116433458974E-2</v>
      </c>
      <c r="H11" s="402">
        <f t="shared" si="3"/>
        <v>-59.447000000000024</v>
      </c>
    </row>
    <row r="12" spans="1:8" s="10" customFormat="1" ht="17.25" customHeight="1" x14ac:dyDescent="0.2">
      <c r="A12" s="82">
        <v>2003</v>
      </c>
      <c r="B12" s="397">
        <v>377.71699999999998</v>
      </c>
      <c r="C12" s="398">
        <v>360.88799999999998</v>
      </c>
      <c r="D12" s="399">
        <f t="shared" si="2"/>
        <v>-16.829000000000008</v>
      </c>
      <c r="E12" s="400">
        <v>-23.1</v>
      </c>
      <c r="F12" s="397">
        <f t="shared" si="0"/>
        <v>6.2709999999999937</v>
      </c>
      <c r="G12" s="401">
        <f t="shared" si="1"/>
        <v>1.6602376911814914E-2</v>
      </c>
      <c r="H12" s="402">
        <f t="shared" si="3"/>
        <v>-76.276000000000039</v>
      </c>
    </row>
    <row r="13" spans="1:8" s="10" customFormat="1" ht="17.25" customHeight="1" x14ac:dyDescent="0.2">
      <c r="A13" s="83">
        <v>2004</v>
      </c>
      <c r="B13" s="403">
        <v>386.5</v>
      </c>
      <c r="C13" s="404">
        <v>386.5</v>
      </c>
      <c r="D13" s="405">
        <f t="shared" si="2"/>
        <v>0</v>
      </c>
      <c r="E13" s="406">
        <v>-23.9</v>
      </c>
      <c r="F13" s="403">
        <f t="shared" si="0"/>
        <v>23.9</v>
      </c>
      <c r="G13" s="407">
        <f t="shared" si="1"/>
        <v>6.1836998706338936E-2</v>
      </c>
      <c r="H13" s="408">
        <f t="shared" si="3"/>
        <v>-76.276000000000039</v>
      </c>
    </row>
    <row r="14" spans="1:8" s="10" customFormat="1" ht="17.25" customHeight="1" x14ac:dyDescent="0.2">
      <c r="A14" s="81" t="s">
        <v>301</v>
      </c>
      <c r="B14" s="391">
        <v>376.09800000000001</v>
      </c>
      <c r="C14" s="392">
        <v>367.34100000000001</v>
      </c>
      <c r="D14" s="393">
        <f t="shared" si="2"/>
        <v>-8.757000000000005</v>
      </c>
      <c r="E14" s="394">
        <v>-18.635999999999999</v>
      </c>
      <c r="F14" s="391">
        <f t="shared" si="0"/>
        <v>9.8789999999999942</v>
      </c>
      <c r="G14" s="395">
        <f t="shared" si="1"/>
        <v>2.6267089960595361E-2</v>
      </c>
      <c r="H14" s="396">
        <f>H13+D14+85</f>
        <v>-3.3000000000043883E-2</v>
      </c>
    </row>
    <row r="15" spans="1:8" s="10" customFormat="1" ht="17.25" customHeight="1" x14ac:dyDescent="0.2">
      <c r="A15" s="82">
        <v>2006</v>
      </c>
      <c r="B15" s="397">
        <v>347.1</v>
      </c>
      <c r="C15" s="398">
        <v>350.7</v>
      </c>
      <c r="D15" s="399">
        <f t="shared" si="2"/>
        <v>3.5999999999999659</v>
      </c>
      <c r="E15" s="400">
        <v>-15.6</v>
      </c>
      <c r="F15" s="397">
        <f t="shared" si="0"/>
        <v>19.199999999999967</v>
      </c>
      <c r="G15" s="401">
        <f t="shared" si="1"/>
        <v>5.5315471045808029E-2</v>
      </c>
      <c r="H15" s="402">
        <f t="shared" ref="H15:H20" si="4">H14+D15</f>
        <v>3.566999999999922</v>
      </c>
    </row>
    <row r="16" spans="1:8" s="10" customFormat="1" ht="17.25" customHeight="1" x14ac:dyDescent="0.2">
      <c r="A16" s="82">
        <v>2007</v>
      </c>
      <c r="B16" s="397">
        <v>311.95800000000003</v>
      </c>
      <c r="C16" s="398">
        <v>317.31599999999997</v>
      </c>
      <c r="D16" s="399">
        <f t="shared" si="2"/>
        <v>5.3579999999999472</v>
      </c>
      <c r="E16" s="400">
        <v>-17.864000000000001</v>
      </c>
      <c r="F16" s="397">
        <f t="shared" si="0"/>
        <v>23.221999999999948</v>
      </c>
      <c r="G16" s="401">
        <f t="shared" si="1"/>
        <v>7.4439507882471181E-2</v>
      </c>
      <c r="H16" s="402">
        <f t="shared" si="4"/>
        <v>8.9249999999998693</v>
      </c>
    </row>
    <row r="17" spans="1:8" s="10" customFormat="1" ht="17.25" customHeight="1" x14ac:dyDescent="0.2">
      <c r="A17" s="83">
        <v>2008</v>
      </c>
      <c r="B17" s="403">
        <v>350.7</v>
      </c>
      <c r="C17" s="404">
        <v>389.4</v>
      </c>
      <c r="D17" s="405">
        <f t="shared" si="2"/>
        <v>38.699999999999989</v>
      </c>
      <c r="E17" s="406">
        <v>1</v>
      </c>
      <c r="F17" s="403">
        <f t="shared" si="0"/>
        <v>37.699999999999989</v>
      </c>
      <c r="G17" s="407">
        <f t="shared" si="1"/>
        <v>0.10749928714000567</v>
      </c>
      <c r="H17" s="408">
        <f t="shared" si="4"/>
        <v>47.624999999999858</v>
      </c>
    </row>
    <row r="18" spans="1:8" s="10" customFormat="1" ht="17.25" customHeight="1" x14ac:dyDescent="0.2">
      <c r="A18" s="81">
        <v>2009</v>
      </c>
      <c r="B18" s="391">
        <v>333.947</v>
      </c>
      <c r="C18" s="392">
        <v>341.255</v>
      </c>
      <c r="D18" s="393">
        <f t="shared" si="2"/>
        <v>7.3079999999999927</v>
      </c>
      <c r="E18" s="394">
        <v>-10.944000000000001</v>
      </c>
      <c r="F18" s="391">
        <f t="shared" si="0"/>
        <v>18.251999999999995</v>
      </c>
      <c r="G18" s="395">
        <f t="shared" si="1"/>
        <v>5.4655379446439091E-2</v>
      </c>
      <c r="H18" s="396">
        <f t="shared" si="4"/>
        <v>54.932999999999851</v>
      </c>
    </row>
    <row r="19" spans="1:8" s="10" customFormat="1" ht="17.25" customHeight="1" x14ac:dyDescent="0.2">
      <c r="A19" s="82">
        <v>2010</v>
      </c>
      <c r="B19" s="397">
        <v>346.3</v>
      </c>
      <c r="C19" s="398">
        <v>360.9</v>
      </c>
      <c r="D19" s="399">
        <f t="shared" si="2"/>
        <v>14.599999999999966</v>
      </c>
      <c r="E19" s="409">
        <v>-15</v>
      </c>
      <c r="F19" s="410">
        <f t="shared" si="0"/>
        <v>29.599999999999966</v>
      </c>
      <c r="G19" s="411">
        <f t="shared" si="1"/>
        <v>8.5475021657522285E-2</v>
      </c>
      <c r="H19" s="402">
        <f t="shared" si="4"/>
        <v>69.532999999999817</v>
      </c>
    </row>
    <row r="20" spans="1:8" s="10" customFormat="1" ht="17.25" customHeight="1" x14ac:dyDescent="0.2">
      <c r="A20" s="82">
        <v>2011</v>
      </c>
      <c r="B20" s="397">
        <v>324.012</v>
      </c>
      <c r="C20" s="398">
        <v>336.55399999999997</v>
      </c>
      <c r="D20" s="399">
        <f t="shared" si="2"/>
        <v>12.541999999999973</v>
      </c>
      <c r="E20" s="400">
        <v>-14.6</v>
      </c>
      <c r="F20" s="397">
        <f t="shared" si="0"/>
        <v>27.141999999999975</v>
      </c>
      <c r="G20" s="401">
        <f t="shared" si="1"/>
        <v>8.3768502401145556E-2</v>
      </c>
      <c r="H20" s="402">
        <f t="shared" si="4"/>
        <v>82.07499999999979</v>
      </c>
    </row>
    <row r="21" spans="1:8" s="10" customFormat="1" ht="17.25" customHeight="1" x14ac:dyDescent="0.2">
      <c r="A21" s="83" t="s">
        <v>302</v>
      </c>
      <c r="B21" s="403">
        <v>320.7</v>
      </c>
      <c r="C21" s="404">
        <v>329.6</v>
      </c>
      <c r="D21" s="405">
        <f t="shared" si="2"/>
        <v>8.9000000000000341</v>
      </c>
      <c r="E21" s="406">
        <v>-16.100000000000001</v>
      </c>
      <c r="F21" s="403">
        <f t="shared" si="0"/>
        <v>25.000000000000036</v>
      </c>
      <c r="G21" s="407">
        <f t="shared" si="1"/>
        <v>7.7954474586841405E-2</v>
      </c>
      <c r="H21" s="408">
        <f>H20+D21-3</f>
        <v>87.974999999999824</v>
      </c>
    </row>
    <row r="22" spans="1:8" s="10" customFormat="1" ht="17.25" customHeight="1" x14ac:dyDescent="0.2">
      <c r="A22" s="81">
        <v>2013</v>
      </c>
      <c r="B22" s="391">
        <v>339.9</v>
      </c>
      <c r="C22" s="392">
        <v>341.5</v>
      </c>
      <c r="D22" s="393">
        <f t="shared" si="2"/>
        <v>1.6000000000000227</v>
      </c>
      <c r="E22" s="394">
        <v>-18.600000000000001</v>
      </c>
      <c r="F22" s="391">
        <f t="shared" si="0"/>
        <v>20.200000000000024</v>
      </c>
      <c r="G22" s="395">
        <f t="shared" si="1"/>
        <v>5.9429243895263391E-2</v>
      </c>
      <c r="H22" s="396">
        <f>H21+D22</f>
        <v>89.574999999999847</v>
      </c>
    </row>
    <row r="23" spans="1:8" s="10" customFormat="1" ht="17.25" customHeight="1" x14ac:dyDescent="0.2">
      <c r="A23" s="82">
        <v>2014</v>
      </c>
      <c r="B23" s="397">
        <v>340.9</v>
      </c>
      <c r="C23" s="398">
        <v>352.3</v>
      </c>
      <c r="D23" s="399">
        <f t="shared" si="2"/>
        <v>11.400000000000034</v>
      </c>
      <c r="E23" s="400">
        <v>-20</v>
      </c>
      <c r="F23" s="397">
        <f t="shared" si="0"/>
        <v>31.400000000000034</v>
      </c>
      <c r="G23" s="401">
        <f t="shared" si="1"/>
        <v>9.2109122909944371E-2</v>
      </c>
      <c r="H23" s="402">
        <f>H22+D23</f>
        <v>100.97499999999988</v>
      </c>
    </row>
    <row r="24" spans="1:8" s="10" customFormat="1" ht="17.25" customHeight="1" x14ac:dyDescent="0.2">
      <c r="A24" s="82">
        <v>2015</v>
      </c>
      <c r="B24" s="397">
        <v>328.433494</v>
      </c>
      <c r="C24" s="398">
        <v>331.799893</v>
      </c>
      <c r="D24" s="399">
        <f t="shared" si="2"/>
        <v>3.3663990000000013</v>
      </c>
      <c r="E24" s="400">
        <v>-19.8</v>
      </c>
      <c r="F24" s="397">
        <f t="shared" si="0"/>
        <v>23.166399000000002</v>
      </c>
      <c r="G24" s="401">
        <f t="shared" si="1"/>
        <v>7.053604283124669E-2</v>
      </c>
      <c r="H24" s="402">
        <f>H23+D24</f>
        <v>104.34139899999988</v>
      </c>
    </row>
    <row r="25" spans="1:8" s="10" customFormat="1" ht="17.25" customHeight="1" x14ac:dyDescent="0.2">
      <c r="A25" s="83" t="s">
        <v>303</v>
      </c>
      <c r="B25" s="403">
        <v>327.54234200000002</v>
      </c>
      <c r="C25" s="404">
        <v>319.087783</v>
      </c>
      <c r="D25" s="405">
        <f t="shared" si="2"/>
        <v>-8.4545590000000175</v>
      </c>
      <c r="E25" s="406">
        <v>-19.899999999999999</v>
      </c>
      <c r="F25" s="403">
        <f t="shared" si="0"/>
        <v>11.445440999999981</v>
      </c>
      <c r="G25" s="407">
        <f t="shared" si="1"/>
        <v>3.4943393669695323E-2</v>
      </c>
      <c r="H25" s="408">
        <f>H24+D25+4.1</f>
        <v>99.986839999999859</v>
      </c>
    </row>
    <row r="26" spans="1:8" s="11" customFormat="1" ht="17.25" customHeight="1" x14ac:dyDescent="0.2">
      <c r="A26" s="84">
        <v>2017</v>
      </c>
      <c r="B26" s="412">
        <v>333.8</v>
      </c>
      <c r="C26" s="413">
        <v>333.8</v>
      </c>
      <c r="D26" s="414">
        <f t="shared" si="2"/>
        <v>0</v>
      </c>
      <c r="E26" s="415">
        <v>-20</v>
      </c>
      <c r="F26" s="412">
        <f t="shared" si="0"/>
        <v>20</v>
      </c>
      <c r="G26" s="416">
        <f t="shared" si="1"/>
        <v>5.9916117435590173E-2</v>
      </c>
      <c r="H26" s="417">
        <f>H25+D26</f>
        <v>99.986839999999859</v>
      </c>
    </row>
    <row r="27" spans="1:8" s="11" customFormat="1" ht="17.25" customHeight="1" x14ac:dyDescent="0.2">
      <c r="A27" s="85">
        <v>2018</v>
      </c>
      <c r="B27" s="410">
        <v>311.09550999999999</v>
      </c>
      <c r="C27" s="418">
        <v>311.09550999999999</v>
      </c>
      <c r="D27" s="419">
        <f t="shared" si="2"/>
        <v>0</v>
      </c>
      <c r="E27" s="400">
        <v>-19.899999999999999</v>
      </c>
      <c r="F27" s="410">
        <f t="shared" si="0"/>
        <v>19.899999999999999</v>
      </c>
      <c r="G27" s="411">
        <f t="shared" si="1"/>
        <v>6.3967493455627175E-2</v>
      </c>
      <c r="H27" s="420">
        <f>H26+D27</f>
        <v>99.986839999999859</v>
      </c>
    </row>
    <row r="28" spans="1:8" s="11" customFormat="1" ht="17.25" customHeight="1" x14ac:dyDescent="0.2">
      <c r="A28" s="85">
        <v>2019</v>
      </c>
      <c r="B28" s="410">
        <v>303.81456500000002</v>
      </c>
      <c r="C28" s="418">
        <v>303.81456500000002</v>
      </c>
      <c r="D28" s="419">
        <f t="shared" ref="D28:D32" si="5">C28-B28</f>
        <v>0</v>
      </c>
      <c r="E28" s="400">
        <v>-19.78</v>
      </c>
      <c r="F28" s="410">
        <f t="shared" ref="F28:F31" si="6">D28-E28</f>
        <v>19.78</v>
      </c>
      <c r="G28" s="411">
        <f t="shared" ref="G28:G29" si="7">F28/B28</f>
        <v>6.5105502759553346E-2</v>
      </c>
      <c r="H28" s="420">
        <f>H27+D28</f>
        <v>99.986839999999859</v>
      </c>
    </row>
    <row r="29" spans="1:8" s="10" customFormat="1" ht="17.25" customHeight="1" x14ac:dyDescent="0.2">
      <c r="A29" s="135">
        <v>2020</v>
      </c>
      <c r="B29" s="421">
        <v>299.38545399999998</v>
      </c>
      <c r="C29" s="422">
        <v>299.38545399999998</v>
      </c>
      <c r="D29" s="423">
        <f t="shared" si="5"/>
        <v>0</v>
      </c>
      <c r="E29" s="406">
        <v>-19.96</v>
      </c>
      <c r="F29" s="421">
        <f t="shared" si="6"/>
        <v>19.96</v>
      </c>
      <c r="G29" s="424">
        <f t="shared" si="7"/>
        <v>6.6669905746322602E-2</v>
      </c>
      <c r="H29" s="425">
        <f>H28+D29</f>
        <v>99.986839999999859</v>
      </c>
    </row>
    <row r="30" spans="1:8" s="10" customFormat="1" ht="17.25" customHeight="1" x14ac:dyDescent="0.2">
      <c r="A30" s="260">
        <v>2021</v>
      </c>
      <c r="B30" s="426">
        <v>302.66880099999997</v>
      </c>
      <c r="C30" s="427">
        <v>302.66880099999997</v>
      </c>
      <c r="D30" s="428">
        <f t="shared" si="5"/>
        <v>0</v>
      </c>
      <c r="E30" s="400">
        <v>-19.975000000000001</v>
      </c>
      <c r="F30" s="426">
        <f t="shared" si="6"/>
        <v>19.975000000000001</v>
      </c>
      <c r="G30" s="429">
        <f>F30/B30</f>
        <v>6.5996230645523332E-2</v>
      </c>
      <c r="H30" s="765">
        <f>H29+D30</f>
        <v>99.986839999999859</v>
      </c>
    </row>
    <row r="31" spans="1:8" s="11" customFormat="1" ht="17.25" customHeight="1" x14ac:dyDescent="0.2">
      <c r="A31" s="85">
        <v>2022</v>
      </c>
      <c r="B31" s="410">
        <v>301.74929152999999</v>
      </c>
      <c r="C31" s="418">
        <v>301.74929152999999</v>
      </c>
      <c r="D31" s="419">
        <f t="shared" si="5"/>
        <v>0</v>
      </c>
      <c r="E31" s="400">
        <v>-19.89</v>
      </c>
      <c r="F31" s="410">
        <f t="shared" si="6"/>
        <v>19.89</v>
      </c>
      <c r="G31" s="411">
        <f>F31/B31</f>
        <v>6.5915647719167983E-2</v>
      </c>
      <c r="H31" s="420">
        <f t="shared" ref="H31" si="8">H30+D31</f>
        <v>99.986839999999859</v>
      </c>
    </row>
    <row r="32" spans="1:8" s="10" customFormat="1" ht="17.25" customHeight="1" x14ac:dyDescent="0.2">
      <c r="A32" s="85">
        <v>2023</v>
      </c>
      <c r="B32" s="410">
        <v>295.88658800000002</v>
      </c>
      <c r="C32" s="418">
        <v>295.88658800000002</v>
      </c>
      <c r="D32" s="419">
        <f t="shared" si="5"/>
        <v>0</v>
      </c>
      <c r="E32" s="400">
        <v>-18.835000000000001</v>
      </c>
      <c r="F32" s="410">
        <f t="shared" ref="F32" si="9">D32-E32</f>
        <v>18.835000000000001</v>
      </c>
      <c r="G32" s="411">
        <f>F32/B32</f>
        <v>6.3656146523275323E-2</v>
      </c>
      <c r="H32" s="417">
        <f>H31+D32</f>
        <v>99.986839999999859</v>
      </c>
    </row>
    <row r="33" spans="1:9" s="10" customFormat="1" ht="17.25" customHeight="1" x14ac:dyDescent="0.2">
      <c r="A33" s="757">
        <v>2024</v>
      </c>
      <c r="B33" s="760">
        <v>315.25568638999999</v>
      </c>
      <c r="C33" s="761">
        <v>315.25568638999999</v>
      </c>
      <c r="D33" s="762">
        <v>0</v>
      </c>
      <c r="E33" s="763">
        <v>-19.419</v>
      </c>
      <c r="F33" s="760">
        <v>19.419</v>
      </c>
      <c r="G33" s="764">
        <v>6.1597620085358046E-2</v>
      </c>
      <c r="H33" s="425">
        <f>H32+D33</f>
        <v>99.986839999999859</v>
      </c>
    </row>
    <row r="34" spans="1:9" s="10" customFormat="1" ht="17.25" customHeight="1" x14ac:dyDescent="0.2">
      <c r="A34" s="758">
        <v>2025</v>
      </c>
      <c r="B34" s="749"/>
      <c r="C34" s="750"/>
      <c r="D34" s="751"/>
      <c r="E34" s="767">
        <v>-19.870999999999999</v>
      </c>
      <c r="F34" s="749"/>
      <c r="G34" s="752"/>
      <c r="H34" s="425">
        <f>H33+E34</f>
        <v>80.115839999999864</v>
      </c>
    </row>
    <row r="35" spans="1:9" s="10" customFormat="1" ht="17.25" customHeight="1" x14ac:dyDescent="0.2">
      <c r="A35" s="759" t="s">
        <v>522</v>
      </c>
      <c r="B35" s="753"/>
      <c r="C35" s="754"/>
      <c r="D35" s="755"/>
      <c r="E35" s="767">
        <v>-29.747</v>
      </c>
      <c r="F35" s="753"/>
      <c r="G35" s="756"/>
      <c r="H35" s="766">
        <f>H34+E35</f>
        <v>50.368839999999864</v>
      </c>
    </row>
    <row r="36" spans="1:9" ht="3.75" customHeight="1" x14ac:dyDescent="0.2"/>
    <row r="37" spans="1:9" s="242" customFormat="1" ht="15" customHeight="1" x14ac:dyDescent="0.2">
      <c r="A37" s="870" t="s">
        <v>310</v>
      </c>
      <c r="B37" s="870"/>
      <c r="C37" s="870"/>
      <c r="D37" s="870"/>
      <c r="E37" s="870"/>
      <c r="F37" s="870"/>
      <c r="G37" s="870"/>
      <c r="H37" s="870"/>
      <c r="I37" s="870"/>
    </row>
    <row r="38" spans="1:9" s="242" customFormat="1" ht="15" customHeight="1" x14ac:dyDescent="0.2">
      <c r="A38" s="870" t="s">
        <v>311</v>
      </c>
      <c r="B38" s="870"/>
      <c r="C38" s="870"/>
      <c r="D38" s="870"/>
      <c r="E38" s="870"/>
      <c r="F38" s="870"/>
      <c r="G38" s="870"/>
      <c r="H38" s="870"/>
      <c r="I38" s="870"/>
    </row>
    <row r="39" spans="1:9" s="242" customFormat="1" ht="15" customHeight="1" x14ac:dyDescent="0.2">
      <c r="A39" s="242" t="s">
        <v>304</v>
      </c>
    </row>
    <row r="40" spans="1:9" s="242" customFormat="1" ht="15" customHeight="1" x14ac:dyDescent="0.2">
      <c r="A40" s="875" t="s">
        <v>414</v>
      </c>
      <c r="B40" s="861"/>
      <c r="C40" s="861"/>
      <c r="D40" s="861"/>
      <c r="E40" s="861"/>
      <c r="F40" s="861"/>
      <c r="G40" s="861"/>
      <c r="H40" s="861"/>
      <c r="I40" s="871"/>
    </row>
    <row r="41" spans="1:9" s="242" customFormat="1" ht="15" x14ac:dyDescent="0.2">
      <c r="A41" s="242" t="s">
        <v>305</v>
      </c>
    </row>
    <row r="42" spans="1:9" s="242" customFormat="1" ht="15" customHeight="1" x14ac:dyDescent="0.2">
      <c r="A42" s="870" t="s">
        <v>306</v>
      </c>
      <c r="B42" s="871"/>
      <c r="C42" s="871"/>
      <c r="D42" s="871"/>
      <c r="E42" s="871"/>
      <c r="F42" s="871"/>
      <c r="G42" s="871"/>
      <c r="H42" s="871"/>
      <c r="I42" s="871"/>
    </row>
    <row r="43" spans="1:9" s="734" customFormat="1" ht="29.25" customHeight="1" x14ac:dyDescent="0.2">
      <c r="A43" s="875" t="s">
        <v>307</v>
      </c>
      <c r="B43" s="861"/>
      <c r="C43" s="861"/>
      <c r="D43" s="861"/>
      <c r="E43" s="861"/>
      <c r="F43" s="861"/>
      <c r="G43" s="861"/>
      <c r="H43" s="861"/>
      <c r="I43" s="871"/>
    </row>
    <row r="44" spans="1:9" s="242" customFormat="1" ht="30" customHeight="1" x14ac:dyDescent="0.2">
      <c r="A44" s="872" t="s">
        <v>523</v>
      </c>
      <c r="B44" s="873"/>
      <c r="C44" s="873"/>
      <c r="D44" s="873"/>
      <c r="E44" s="873"/>
      <c r="F44" s="873"/>
      <c r="G44" s="873"/>
      <c r="H44" s="873"/>
      <c r="I44" s="874"/>
    </row>
    <row r="45" spans="1:9" s="734" customFormat="1" ht="30" customHeight="1" x14ac:dyDescent="0.2">
      <c r="A45" s="736"/>
      <c r="B45" s="733"/>
      <c r="C45" s="733"/>
      <c r="D45" s="733"/>
      <c r="E45" s="733"/>
      <c r="F45" s="733"/>
      <c r="G45" s="733"/>
      <c r="H45" s="733"/>
      <c r="I45" s="735"/>
    </row>
    <row r="49" spans="1:17" x14ac:dyDescent="0.2">
      <c r="A49" s="620"/>
      <c r="B49" s="620"/>
      <c r="C49" s="620"/>
      <c r="D49" s="620"/>
      <c r="E49" s="620"/>
      <c r="F49" s="620"/>
      <c r="G49" s="620"/>
      <c r="H49" s="620"/>
      <c r="I49" s="620"/>
      <c r="J49" s="620"/>
      <c r="K49" s="620"/>
      <c r="L49" s="620"/>
      <c r="M49" s="620"/>
      <c r="N49" s="620"/>
      <c r="O49" s="620"/>
      <c r="P49" s="620"/>
      <c r="Q49" s="620"/>
    </row>
  </sheetData>
  <mergeCells count="9">
    <mergeCell ref="B4:D4"/>
    <mergeCell ref="F4:G4"/>
    <mergeCell ref="H4:H5"/>
    <mergeCell ref="A42:I42"/>
    <mergeCell ref="A44:I44"/>
    <mergeCell ref="A40:I40"/>
    <mergeCell ref="A37:I37"/>
    <mergeCell ref="A38:I38"/>
    <mergeCell ref="A43:I43"/>
  </mergeCells>
  <pageMargins left="0.19685039370078741" right="0.19685039370078741" top="0.19685039370078741" bottom="0.39370078740157483" header="0.31496062992125984" footer="0.19685039370078741"/>
  <pageSetup paperSize="8" orientation="landscape" r:id="rId1"/>
  <headerFooter>
    <oddFooter>&amp;L&amp;"Arial Narrow,Standard"DFG, 5. Dezember 2024</oddFooter>
  </headerFooter>
  <ignoredErrors>
    <ignoredError sqref="H14 H21 H25"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70"/>
  <sheetViews>
    <sheetView view="pageBreakPreview" topLeftCell="A12" zoomScale="145" zoomScaleNormal="130" zoomScaleSheetLayoutView="145" workbookViewId="0">
      <selection activeCell="A22" sqref="A22:Q22"/>
    </sheetView>
  </sheetViews>
  <sheetFormatPr baseColWidth="10" defaultColWidth="11.42578125" defaultRowHeight="12.75" x14ac:dyDescent="0.2"/>
  <cols>
    <col min="1" max="1" width="7" style="630" customWidth="1"/>
    <col min="2" max="6" width="11.42578125" style="630" customWidth="1"/>
    <col min="7" max="7" width="10.42578125" style="630" customWidth="1"/>
    <col min="8" max="8" width="11.42578125" style="630" customWidth="1"/>
    <col min="9" max="9" width="10.42578125" style="630" customWidth="1"/>
    <col min="10" max="10" width="9.7109375" style="630" customWidth="1"/>
    <col min="11" max="11" width="10.42578125" style="630" customWidth="1"/>
    <col min="12" max="12" width="10.140625" style="630" customWidth="1"/>
    <col min="13" max="13" width="12.42578125" style="630" customWidth="1"/>
    <col min="14" max="15" width="9" style="630" customWidth="1"/>
    <col min="16" max="16" width="10" style="630" customWidth="1"/>
    <col min="17" max="17" width="10.5703125" style="630" customWidth="1"/>
    <col min="18" max="18" width="9.42578125" style="630" customWidth="1"/>
    <col min="19" max="19" width="9" style="630" customWidth="1"/>
    <col min="20" max="20" width="10.42578125" style="630" customWidth="1"/>
    <col min="21" max="21" width="9" style="630" customWidth="1"/>
    <col min="22" max="22" width="12.28515625" style="630" customWidth="1"/>
    <col min="23" max="25" width="10.28515625" style="630" customWidth="1"/>
    <col min="26" max="26" width="11.42578125" style="631"/>
    <col min="27" max="16384" width="11.42578125" style="630"/>
  </cols>
  <sheetData>
    <row r="1" spans="1:30" ht="15.75" x14ac:dyDescent="0.25">
      <c r="A1" s="629" t="s">
        <v>6</v>
      </c>
    </row>
    <row r="2" spans="1:30" x14ac:dyDescent="0.2">
      <c r="A2" s="630" t="s">
        <v>288</v>
      </c>
    </row>
    <row r="4" spans="1:30" ht="21" customHeight="1" x14ac:dyDescent="0.2">
      <c r="A4" s="632"/>
      <c r="B4" s="878" t="s">
        <v>7</v>
      </c>
      <c r="C4" s="879"/>
      <c r="D4" s="879"/>
      <c r="E4" s="880"/>
      <c r="F4" s="883" t="s">
        <v>8</v>
      </c>
      <c r="G4" s="884"/>
      <c r="H4" s="885"/>
      <c r="I4" s="878" t="s">
        <v>9</v>
      </c>
      <c r="J4" s="881"/>
      <c r="K4" s="881"/>
      <c r="L4" s="881"/>
      <c r="M4" s="882"/>
      <c r="N4" s="878" t="s">
        <v>10</v>
      </c>
      <c r="O4" s="879"/>
      <c r="P4" s="881"/>
      <c r="Q4" s="882"/>
      <c r="R4" s="878" t="s">
        <v>436</v>
      </c>
      <c r="S4" s="923"/>
      <c r="T4" s="923"/>
      <c r="U4" s="923"/>
      <c r="V4" s="924"/>
      <c r="W4" s="878" t="s">
        <v>22</v>
      </c>
      <c r="X4" s="881"/>
      <c r="Y4" s="882"/>
    </row>
    <row r="5" spans="1:30" s="637" customFormat="1" ht="28.5" customHeight="1" x14ac:dyDescent="0.2">
      <c r="A5" s="633" t="s">
        <v>4</v>
      </c>
      <c r="B5" s="634" t="s">
        <v>145</v>
      </c>
      <c r="C5" s="602" t="s">
        <v>17</v>
      </c>
      <c r="D5" s="602" t="s">
        <v>3</v>
      </c>
      <c r="E5" s="607" t="s">
        <v>18</v>
      </c>
      <c r="F5" s="634" t="s">
        <v>2</v>
      </c>
      <c r="G5" s="602" t="s">
        <v>446</v>
      </c>
      <c r="H5" s="607" t="s">
        <v>19</v>
      </c>
      <c r="I5" s="634" t="s">
        <v>78</v>
      </c>
      <c r="J5" s="602" t="s">
        <v>79</v>
      </c>
      <c r="K5" s="602" t="s">
        <v>435</v>
      </c>
      <c r="L5" s="602" t="s">
        <v>80</v>
      </c>
      <c r="M5" s="607" t="s">
        <v>20</v>
      </c>
      <c r="N5" s="13" t="s">
        <v>83</v>
      </c>
      <c r="O5" s="635" t="s">
        <v>84</v>
      </c>
      <c r="P5" s="602" t="s">
        <v>446</v>
      </c>
      <c r="Q5" s="607" t="s">
        <v>21</v>
      </c>
      <c r="R5" s="634" t="s">
        <v>78</v>
      </c>
      <c r="S5" s="602" t="s">
        <v>79</v>
      </c>
      <c r="T5" s="602" t="s">
        <v>435</v>
      </c>
      <c r="U5" s="602" t="s">
        <v>11</v>
      </c>
      <c r="V5" s="607" t="s">
        <v>437</v>
      </c>
      <c r="W5" s="13" t="s">
        <v>146</v>
      </c>
      <c r="X5" s="636" t="s">
        <v>16</v>
      </c>
      <c r="Y5" s="607" t="s">
        <v>313</v>
      </c>
      <c r="Z5" s="631"/>
    </row>
    <row r="6" spans="1:30" s="637" customFormat="1" ht="17.25" customHeight="1" x14ac:dyDescent="0.2">
      <c r="A6" s="638" t="s">
        <v>127</v>
      </c>
      <c r="B6" s="639">
        <f>L38</f>
        <v>178.41900000000001</v>
      </c>
      <c r="C6" s="640">
        <v>160.80000000000001</v>
      </c>
      <c r="D6" s="640">
        <f>B6-C6</f>
        <v>17.619</v>
      </c>
      <c r="E6" s="431">
        <f>B6/C6</f>
        <v>1.109570895522388</v>
      </c>
      <c r="F6" s="639">
        <f>B6</f>
        <v>178.41900000000001</v>
      </c>
      <c r="G6" s="640">
        <v>1908.5</v>
      </c>
      <c r="H6" s="431">
        <f t="shared" ref="H6:H11" si="0">F6/G6</f>
        <v>9.3486507728582663E-2</v>
      </c>
      <c r="I6" s="639">
        <v>983.6</v>
      </c>
      <c r="J6" s="640">
        <v>2639.1</v>
      </c>
      <c r="K6" s="640">
        <f t="shared" ref="K6:K11" si="1">I6-J6</f>
        <v>-1655.5</v>
      </c>
      <c r="L6" s="640">
        <v>704.5</v>
      </c>
      <c r="M6" s="431">
        <f t="shared" ref="M6:M11" si="2">K6/L6</f>
        <v>-2.3498935415188078</v>
      </c>
      <c r="N6" s="641">
        <v>2.4</v>
      </c>
      <c r="O6" s="642">
        <v>7.6</v>
      </c>
      <c r="P6" s="640">
        <v>1908.5</v>
      </c>
      <c r="Q6" s="431">
        <f t="shared" ref="Q6:Q11" si="3">(N6-O6)/P6</f>
        <v>-2.7246528687450873E-3</v>
      </c>
      <c r="R6" s="458">
        <f>I6</f>
        <v>983.6</v>
      </c>
      <c r="S6" s="430">
        <f>J6</f>
        <v>2639.1</v>
      </c>
      <c r="T6" s="640">
        <f t="shared" ref="T6:T17" si="4">R6-S6</f>
        <v>-1655.5</v>
      </c>
      <c r="U6" s="459">
        <v>194959</v>
      </c>
      <c r="V6" s="460">
        <f>(R6-S6)/U6*1000000</f>
        <v>-8491.5289881462268</v>
      </c>
      <c r="W6" s="430">
        <f t="shared" ref="W6:W14" si="5">R56</f>
        <v>1883.3659329999998</v>
      </c>
      <c r="X6" s="430">
        <v>14028.606540000001</v>
      </c>
      <c r="Y6" s="431">
        <f t="shared" ref="Y6:Y11" si="6">W6/X6</f>
        <v>0.13425181807116246</v>
      </c>
      <c r="Z6" s="631"/>
      <c r="AA6" s="630"/>
      <c r="AB6" s="630"/>
      <c r="AC6" s="630"/>
      <c r="AD6" s="643"/>
    </row>
    <row r="7" spans="1:30" s="637" customFormat="1" ht="17.25" customHeight="1" x14ac:dyDescent="0.2">
      <c r="A7" s="644" t="s">
        <v>128</v>
      </c>
      <c r="B7" s="639">
        <f t="shared" ref="B7:B16" si="7">L39</f>
        <v>178.322</v>
      </c>
      <c r="C7" s="454">
        <v>128</v>
      </c>
      <c r="D7" s="454">
        <f t="shared" ref="D7:D14" si="8">B7-C7</f>
        <v>50.322000000000003</v>
      </c>
      <c r="E7" s="434">
        <f t="shared" ref="E7:E11" si="9">B7/C7</f>
        <v>1.393140625</v>
      </c>
      <c r="F7" s="645">
        <f t="shared" ref="F7:F11" si="10">B7</f>
        <v>178.322</v>
      </c>
      <c r="G7" s="454">
        <v>1981.8</v>
      </c>
      <c r="H7" s="434">
        <f t="shared" si="0"/>
        <v>8.9979816328590173E-2</v>
      </c>
      <c r="I7" s="645">
        <v>1084.6590000000001</v>
      </c>
      <c r="J7" s="454">
        <v>2794</v>
      </c>
      <c r="K7" s="454">
        <f t="shared" si="1"/>
        <v>-1709.3409999999999</v>
      </c>
      <c r="L7" s="454">
        <v>761.3</v>
      </c>
      <c r="M7" s="434">
        <f t="shared" si="2"/>
        <v>-2.2452922632339418</v>
      </c>
      <c r="N7" s="452">
        <v>1.6</v>
      </c>
      <c r="O7" s="646">
        <v>6.9</v>
      </c>
      <c r="P7" s="454">
        <v>1981.8</v>
      </c>
      <c r="Q7" s="434">
        <f t="shared" si="3"/>
        <v>-2.6743364618024021E-3</v>
      </c>
      <c r="R7" s="435">
        <f t="shared" ref="R7:R11" si="11">I7</f>
        <v>1084.6590000000001</v>
      </c>
      <c r="S7" s="433">
        <f t="shared" ref="S7:S11" si="12">J7</f>
        <v>2794</v>
      </c>
      <c r="T7" s="454">
        <f t="shared" si="4"/>
        <v>-1709.3409999999999</v>
      </c>
      <c r="U7" s="603">
        <v>195886</v>
      </c>
      <c r="V7" s="455">
        <f t="shared" ref="V7:V11" si="13">(R7-S7)/U7*1000000</f>
        <v>-8726.2029956199021</v>
      </c>
      <c r="W7" s="433">
        <f t="shared" si="5"/>
        <v>1893.4191169999995</v>
      </c>
      <c r="X7" s="433">
        <v>14125.80718</v>
      </c>
      <c r="Y7" s="434">
        <f t="shared" si="6"/>
        <v>0.13403971135049852</v>
      </c>
      <c r="Z7" s="631"/>
      <c r="AA7" s="630"/>
      <c r="AB7" s="630"/>
      <c r="AC7" s="630"/>
      <c r="AD7" s="643"/>
    </row>
    <row r="8" spans="1:30" s="637" customFormat="1" ht="17.25" customHeight="1" x14ac:dyDescent="0.2">
      <c r="A8" s="644" t="s">
        <v>129</v>
      </c>
      <c r="B8" s="645">
        <f t="shared" si="7"/>
        <v>211.76400000000001</v>
      </c>
      <c r="C8" s="454">
        <v>163.30000000000001</v>
      </c>
      <c r="D8" s="454">
        <f t="shared" si="8"/>
        <v>48.463999999999999</v>
      </c>
      <c r="E8" s="434">
        <f t="shared" si="9"/>
        <v>1.2967789344764238</v>
      </c>
      <c r="F8" s="645">
        <f t="shared" si="10"/>
        <v>211.76400000000001</v>
      </c>
      <c r="G8" s="454">
        <v>2062.6</v>
      </c>
      <c r="H8" s="434">
        <f t="shared" si="0"/>
        <v>0.10266847667991856</v>
      </c>
      <c r="I8" s="645">
        <v>1391.3</v>
      </c>
      <c r="J8" s="454">
        <v>2698.8</v>
      </c>
      <c r="K8" s="454">
        <f t="shared" si="1"/>
        <v>-1307.5000000000002</v>
      </c>
      <c r="L8" s="454">
        <v>744.2</v>
      </c>
      <c r="M8" s="434">
        <f t="shared" si="2"/>
        <v>-1.7569201827465737</v>
      </c>
      <c r="N8" s="452">
        <v>0.9</v>
      </c>
      <c r="O8" s="646">
        <v>3.3</v>
      </c>
      <c r="P8" s="454">
        <v>2062.6</v>
      </c>
      <c r="Q8" s="434">
        <f t="shared" si="3"/>
        <v>-1.1635799476389023E-3</v>
      </c>
      <c r="R8" s="435">
        <f t="shared" si="11"/>
        <v>1391.3</v>
      </c>
      <c r="S8" s="433">
        <f t="shared" si="12"/>
        <v>2698.8</v>
      </c>
      <c r="T8" s="454">
        <f t="shared" si="4"/>
        <v>-1307.5000000000002</v>
      </c>
      <c r="U8" s="603">
        <v>196610</v>
      </c>
      <c r="V8" s="455">
        <f t="shared" si="13"/>
        <v>-6650.2212501907343</v>
      </c>
      <c r="W8" s="435">
        <f t="shared" si="5"/>
        <v>1923.1227699999995</v>
      </c>
      <c r="X8" s="433">
        <v>14011.725570000001</v>
      </c>
      <c r="Y8" s="434">
        <f t="shared" si="6"/>
        <v>0.13725095887672309</v>
      </c>
      <c r="Z8" s="631"/>
      <c r="AA8" s="630"/>
      <c r="AB8" s="630"/>
      <c r="AC8" s="630"/>
      <c r="AD8" s="643"/>
    </row>
    <row r="9" spans="1:30" s="637" customFormat="1" ht="17.25" customHeight="1" x14ac:dyDescent="0.2">
      <c r="A9" s="647" t="s">
        <v>130</v>
      </c>
      <c r="B9" s="648">
        <f t="shared" si="7"/>
        <v>183.226</v>
      </c>
      <c r="C9" s="649">
        <v>207.2</v>
      </c>
      <c r="D9" s="649">
        <f t="shared" si="8"/>
        <v>-23.97399999999999</v>
      </c>
      <c r="E9" s="437">
        <f t="shared" si="9"/>
        <v>0.8842953667953668</v>
      </c>
      <c r="F9" s="648">
        <f t="shared" si="10"/>
        <v>183.226</v>
      </c>
      <c r="G9" s="649">
        <v>1853.2</v>
      </c>
      <c r="H9" s="437">
        <f t="shared" si="0"/>
        <v>9.8870062594431249E-2</v>
      </c>
      <c r="I9" s="648">
        <v>1484.5</v>
      </c>
      <c r="J9" s="649">
        <v>2748.3</v>
      </c>
      <c r="K9" s="649">
        <f t="shared" si="1"/>
        <v>-1263.8000000000002</v>
      </c>
      <c r="L9" s="649">
        <v>751.8</v>
      </c>
      <c r="M9" s="437">
        <f t="shared" si="2"/>
        <v>-1.6810321894120781</v>
      </c>
      <c r="N9" s="650">
        <v>1</v>
      </c>
      <c r="O9" s="651">
        <v>3.7</v>
      </c>
      <c r="P9" s="649">
        <v>1853.2</v>
      </c>
      <c r="Q9" s="437">
        <f t="shared" si="3"/>
        <v>-1.4569393481545436E-3</v>
      </c>
      <c r="R9" s="652">
        <f t="shared" si="11"/>
        <v>1484.5</v>
      </c>
      <c r="S9" s="653">
        <f t="shared" si="12"/>
        <v>2748.3</v>
      </c>
      <c r="T9" s="649">
        <f t="shared" si="4"/>
        <v>-1263.8000000000002</v>
      </c>
      <c r="U9" s="604">
        <v>197550</v>
      </c>
      <c r="V9" s="654">
        <f t="shared" si="13"/>
        <v>-6397.3677549987351</v>
      </c>
      <c r="W9" s="652">
        <f t="shared" si="5"/>
        <v>1945.4049659999998</v>
      </c>
      <c r="X9" s="653">
        <v>14100.51146</v>
      </c>
      <c r="Y9" s="437">
        <f t="shared" si="6"/>
        <v>0.13796697882333411</v>
      </c>
      <c r="Z9" s="631"/>
      <c r="AA9" s="630"/>
      <c r="AB9" s="630"/>
      <c r="AC9" s="630"/>
      <c r="AD9" s="643"/>
    </row>
    <row r="10" spans="1:30" s="637" customFormat="1" ht="17.25" customHeight="1" x14ac:dyDescent="0.2">
      <c r="A10" s="655" t="s">
        <v>131</v>
      </c>
      <c r="B10" s="656">
        <f t="shared" si="7"/>
        <v>244.87400000000005</v>
      </c>
      <c r="C10" s="657">
        <v>221.4</v>
      </c>
      <c r="D10" s="657">
        <f t="shared" si="8"/>
        <v>23.474000000000046</v>
      </c>
      <c r="E10" s="439">
        <f t="shared" si="9"/>
        <v>1.1060252935862693</v>
      </c>
      <c r="F10" s="656">
        <f>B10</f>
        <v>244.87400000000005</v>
      </c>
      <c r="G10" s="657">
        <v>1949.1</v>
      </c>
      <c r="H10" s="439">
        <f t="shared" si="0"/>
        <v>0.12563439536196197</v>
      </c>
      <c r="I10" s="656">
        <v>1624</v>
      </c>
      <c r="J10" s="657">
        <v>2956.5</v>
      </c>
      <c r="K10" s="657">
        <f t="shared" si="1"/>
        <v>-1332.5</v>
      </c>
      <c r="L10" s="657">
        <v>775.2</v>
      </c>
      <c r="M10" s="439">
        <f t="shared" si="2"/>
        <v>-1.7189112487100102</v>
      </c>
      <c r="N10" s="447">
        <v>1</v>
      </c>
      <c r="O10" s="658">
        <v>4</v>
      </c>
      <c r="P10" s="657">
        <v>1949.1</v>
      </c>
      <c r="Q10" s="439">
        <f t="shared" si="3"/>
        <v>-1.539171925504079E-3</v>
      </c>
      <c r="R10" s="450">
        <f t="shared" si="11"/>
        <v>1624</v>
      </c>
      <c r="S10" s="449">
        <f t="shared" si="12"/>
        <v>2956.5</v>
      </c>
      <c r="T10" s="657">
        <f t="shared" si="4"/>
        <v>-1332.5</v>
      </c>
      <c r="U10" s="605">
        <v>197888</v>
      </c>
      <c r="V10" s="451">
        <f>(R10-S10)/U10*1000000</f>
        <v>-6733.6068887451493</v>
      </c>
      <c r="W10" s="450">
        <f t="shared" si="5"/>
        <v>1985.3808660000004</v>
      </c>
      <c r="X10" s="449">
        <v>14131.66518</v>
      </c>
      <c r="Y10" s="439">
        <f t="shared" si="6"/>
        <v>0.14049164346250104</v>
      </c>
      <c r="Z10" s="631"/>
      <c r="AA10" s="630"/>
      <c r="AB10" s="630"/>
      <c r="AC10" s="630"/>
      <c r="AD10" s="643"/>
    </row>
    <row r="11" spans="1:30" s="637" customFormat="1" ht="17.25" customHeight="1" x14ac:dyDescent="0.2">
      <c r="A11" s="644" t="s">
        <v>132</v>
      </c>
      <c r="B11" s="645">
        <f t="shared" si="7"/>
        <v>286.00343700000002</v>
      </c>
      <c r="C11" s="454">
        <v>239.7</v>
      </c>
      <c r="D11" s="454">
        <f t="shared" si="8"/>
        <v>46.303437000000031</v>
      </c>
      <c r="E11" s="434">
        <f t="shared" si="9"/>
        <v>1.193172453066333</v>
      </c>
      <c r="F11" s="645">
        <f t="shared" si="10"/>
        <v>286.00343700000002</v>
      </c>
      <c r="G11" s="454">
        <v>1953</v>
      </c>
      <c r="H11" s="434">
        <f t="shared" si="0"/>
        <v>0.1464431321044547</v>
      </c>
      <c r="I11" s="645">
        <v>1505.4</v>
      </c>
      <c r="J11" s="454">
        <v>2862.7</v>
      </c>
      <c r="K11" s="454">
        <f t="shared" si="1"/>
        <v>-1357.2999999999997</v>
      </c>
      <c r="L11" s="454">
        <v>803.3</v>
      </c>
      <c r="M11" s="434">
        <f t="shared" si="2"/>
        <v>-1.6896551724137929</v>
      </c>
      <c r="N11" s="452">
        <v>0.9</v>
      </c>
      <c r="O11" s="646">
        <v>7.2</v>
      </c>
      <c r="P11" s="454">
        <v>1953</v>
      </c>
      <c r="Q11" s="434">
        <f t="shared" si="3"/>
        <v>-3.2258064516129032E-3</v>
      </c>
      <c r="R11" s="435">
        <f t="shared" si="11"/>
        <v>1505.4</v>
      </c>
      <c r="S11" s="433">
        <f t="shared" si="12"/>
        <v>2862.7</v>
      </c>
      <c r="T11" s="454">
        <f t="shared" si="4"/>
        <v>-1357.2999999999997</v>
      </c>
      <c r="U11" s="603">
        <v>198379</v>
      </c>
      <c r="V11" s="455">
        <f t="shared" si="13"/>
        <v>-6841.9540374737226</v>
      </c>
      <c r="W11" s="435">
        <f t="shared" si="5"/>
        <v>1996.984285</v>
      </c>
      <c r="X11" s="433">
        <v>14501.147709999999</v>
      </c>
      <c r="Y11" s="434">
        <f t="shared" si="6"/>
        <v>0.1377121538885421</v>
      </c>
      <c r="Z11" s="706"/>
      <c r="AA11" s="630"/>
      <c r="AB11" s="697"/>
      <c r="AC11" s="630"/>
      <c r="AD11" s="643"/>
    </row>
    <row r="12" spans="1:30" s="637" customFormat="1" ht="17.25" customHeight="1" x14ac:dyDescent="0.2">
      <c r="A12" s="644" t="s">
        <v>133</v>
      </c>
      <c r="B12" s="645">
        <f t="shared" si="7"/>
        <v>300.31200000000001</v>
      </c>
      <c r="C12" s="454">
        <v>227.07300000000001</v>
      </c>
      <c r="D12" s="454">
        <f t="shared" si="8"/>
        <v>73.239000000000004</v>
      </c>
      <c r="E12" s="434">
        <f t="shared" ref="E12:E16" si="14">B12/C12</f>
        <v>1.3225350437964885</v>
      </c>
      <c r="F12" s="645">
        <f t="shared" ref="F12" si="15">B12</f>
        <v>300.31200000000001</v>
      </c>
      <c r="G12" s="454">
        <v>1969.4737259999999</v>
      </c>
      <c r="H12" s="434">
        <f t="shared" ref="H12:H15" si="16">F12/G12</f>
        <v>0.15248337463731162</v>
      </c>
      <c r="I12" s="645">
        <v>1533.3</v>
      </c>
      <c r="J12" s="454">
        <v>2897.2190000000001</v>
      </c>
      <c r="K12" s="454">
        <f t="shared" ref="K12" si="17">I12-J12</f>
        <v>-1363.9190000000001</v>
      </c>
      <c r="L12" s="454">
        <v>806.9</v>
      </c>
      <c r="M12" s="434">
        <f>K12/L12</f>
        <v>-1.690319742223324</v>
      </c>
      <c r="N12" s="452">
        <v>0.73435899999999998</v>
      </c>
      <c r="O12" s="453">
        <v>4.0932029999999999</v>
      </c>
      <c r="P12" s="454">
        <f t="shared" ref="P12:P19" si="18">G12</f>
        <v>1969.4737259999999</v>
      </c>
      <c r="Q12" s="434">
        <f>(N12-O12)/P12</f>
        <v>-1.7054525560093712E-3</v>
      </c>
      <c r="R12" s="435">
        <f t="shared" ref="R12" si="19">I12</f>
        <v>1533.3</v>
      </c>
      <c r="S12" s="433">
        <f t="shared" ref="S12" si="20">J12</f>
        <v>2897.2190000000001</v>
      </c>
      <c r="T12" s="454">
        <f t="shared" si="4"/>
        <v>-1363.9190000000001</v>
      </c>
      <c r="U12" s="603">
        <v>199021</v>
      </c>
      <c r="V12" s="455">
        <f t="shared" ref="V12" si="21">(R12-S12)/U12*1000000</f>
        <v>-6853.1411258108446</v>
      </c>
      <c r="W12" s="435">
        <f t="shared" si="5"/>
        <v>2006.4808209999992</v>
      </c>
      <c r="X12" s="433">
        <v>14937.000480000001</v>
      </c>
      <c r="Y12" s="434">
        <f t="shared" ref="Y12" si="22">W12/X12</f>
        <v>0.13432956795352524</v>
      </c>
      <c r="Z12" s="706"/>
      <c r="AA12" s="630"/>
      <c r="AB12" s="697"/>
      <c r="AC12" s="630"/>
      <c r="AD12" s="643"/>
    </row>
    <row r="13" spans="1:30" s="637" customFormat="1" ht="17.25" customHeight="1" x14ac:dyDescent="0.2">
      <c r="A13" s="659" t="s">
        <v>134</v>
      </c>
      <c r="B13" s="660">
        <f t="shared" si="7"/>
        <v>270.82132899999999</v>
      </c>
      <c r="C13" s="442">
        <v>200.48964899999999</v>
      </c>
      <c r="D13" s="442">
        <f t="shared" si="8"/>
        <v>70.331680000000006</v>
      </c>
      <c r="E13" s="443">
        <f t="shared" ref="E13:E15" si="23">B13/C13</f>
        <v>1.350799556739211</v>
      </c>
      <c r="F13" s="660">
        <f t="shared" ref="F13:F14" si="24">B13</f>
        <v>270.82132899999999</v>
      </c>
      <c r="G13" s="442">
        <v>2065.0446179999999</v>
      </c>
      <c r="H13" s="443">
        <f t="shared" si="16"/>
        <v>0.13114550970927255</v>
      </c>
      <c r="I13" s="660">
        <v>1517.813799</v>
      </c>
      <c r="J13" s="442">
        <v>2987.1305390000002</v>
      </c>
      <c r="K13" s="442">
        <f t="shared" ref="K13:K16" si="25">I13-J13</f>
        <v>-1469.3167400000002</v>
      </c>
      <c r="L13" s="442">
        <v>836.04792499999996</v>
      </c>
      <c r="M13" s="443">
        <f>K13/L13</f>
        <v>-1.7574551602409638</v>
      </c>
      <c r="N13" s="440">
        <v>1.2680149999999999</v>
      </c>
      <c r="O13" s="441">
        <v>3.7542490000000002</v>
      </c>
      <c r="P13" s="442">
        <f t="shared" si="18"/>
        <v>2065.0446179999999</v>
      </c>
      <c r="Q13" s="443">
        <f t="shared" ref="Q13" si="26">(N13-O13)/P13</f>
        <v>-1.2039613954723766E-3</v>
      </c>
      <c r="R13" s="444">
        <f t="shared" ref="R13:S17" si="27">I13</f>
        <v>1517.813799</v>
      </c>
      <c r="S13" s="445">
        <f t="shared" ref="S13" si="28">J13</f>
        <v>2987.1305390000002</v>
      </c>
      <c r="T13" s="442">
        <f t="shared" si="4"/>
        <v>-1469.3167400000002</v>
      </c>
      <c r="U13" s="462">
        <v>200096</v>
      </c>
      <c r="V13" s="446">
        <f t="shared" ref="V13:V14" si="29">(R13-S13)/U13*1000000</f>
        <v>-7343.0590316648013</v>
      </c>
      <c r="W13" s="444">
        <f t="shared" si="5"/>
        <v>2044.9514699999993</v>
      </c>
      <c r="X13" s="445">
        <v>14627.09554</v>
      </c>
      <c r="Y13" s="443">
        <f t="shared" ref="Y13:Y14" si="30">W13/X13</f>
        <v>0.13980570950724774</v>
      </c>
      <c r="Z13" s="706"/>
      <c r="AA13" s="630"/>
      <c r="AB13" s="697"/>
      <c r="AC13" s="630"/>
      <c r="AD13" s="643"/>
    </row>
    <row r="14" spans="1:30" s="637" customFormat="1" ht="17.25" customHeight="1" x14ac:dyDescent="0.2">
      <c r="A14" s="661" t="s">
        <v>399</v>
      </c>
      <c r="B14" s="450">
        <f t="shared" si="7"/>
        <v>332.06427100000008</v>
      </c>
      <c r="C14" s="449">
        <v>189.397232</v>
      </c>
      <c r="D14" s="449">
        <f t="shared" si="8"/>
        <v>142.66703900000007</v>
      </c>
      <c r="E14" s="439">
        <f t="shared" si="23"/>
        <v>1.7532688703708197</v>
      </c>
      <c r="F14" s="450">
        <f t="shared" si="24"/>
        <v>332.06427100000008</v>
      </c>
      <c r="G14" s="449">
        <v>2343.656935</v>
      </c>
      <c r="H14" s="439">
        <f t="shared" si="16"/>
        <v>0.14168638167172709</v>
      </c>
      <c r="I14" s="450">
        <v>1687.183734</v>
      </c>
      <c r="J14" s="449">
        <v>3352.167868</v>
      </c>
      <c r="K14" s="449">
        <f t="shared" si="25"/>
        <v>-1664.984134</v>
      </c>
      <c r="L14" s="449">
        <v>819.23738700000001</v>
      </c>
      <c r="M14" s="439">
        <f>K14/L14</f>
        <v>-2.0323585817989529</v>
      </c>
      <c r="N14" s="447">
        <v>0.823133</v>
      </c>
      <c r="O14" s="448">
        <v>2.8764259999999999</v>
      </c>
      <c r="P14" s="449">
        <f t="shared" si="18"/>
        <v>2343.656935</v>
      </c>
      <c r="Q14" s="439">
        <f>(N14-O14)/P14</f>
        <v>-8.7610646820201099E-4</v>
      </c>
      <c r="R14" s="450">
        <f t="shared" si="27"/>
        <v>1687.183734</v>
      </c>
      <c r="S14" s="449">
        <f t="shared" si="27"/>
        <v>3352.167868</v>
      </c>
      <c r="T14" s="449">
        <f t="shared" si="4"/>
        <v>-1664.984134</v>
      </c>
      <c r="U14" s="606">
        <v>201376</v>
      </c>
      <c r="V14" s="451">
        <f t="shared" si="29"/>
        <v>-8268.0365783410125</v>
      </c>
      <c r="W14" s="450">
        <f t="shared" si="5"/>
        <v>2272.3109870000003</v>
      </c>
      <c r="X14" s="449">
        <v>15542.004150000001</v>
      </c>
      <c r="Y14" s="439">
        <f t="shared" si="30"/>
        <v>0.14620450265418314</v>
      </c>
      <c r="Z14" s="706"/>
      <c r="AA14" s="630"/>
      <c r="AB14" s="697"/>
      <c r="AC14" s="630"/>
      <c r="AD14" s="643"/>
    </row>
    <row r="15" spans="1:30" s="637" customFormat="1" ht="17.25" customHeight="1" x14ac:dyDescent="0.2">
      <c r="A15" s="644" t="s">
        <v>429</v>
      </c>
      <c r="B15" s="645">
        <f t="shared" si="7"/>
        <v>418.86588825999996</v>
      </c>
      <c r="C15" s="454">
        <v>196.36730926000001</v>
      </c>
      <c r="D15" s="454">
        <f>B15-C15</f>
        <v>222.49857899999995</v>
      </c>
      <c r="E15" s="434">
        <f t="shared" si="23"/>
        <v>2.1330734216325227</v>
      </c>
      <c r="F15" s="645">
        <f>B15</f>
        <v>418.86588825999996</v>
      </c>
      <c r="G15" s="454">
        <v>2242.79384639</v>
      </c>
      <c r="H15" s="434">
        <f t="shared" si="16"/>
        <v>0.18676076222262084</v>
      </c>
      <c r="I15" s="645">
        <v>1519.08053522</v>
      </c>
      <c r="J15" s="454">
        <v>3446.8883226200001</v>
      </c>
      <c r="K15" s="454">
        <f t="shared" si="25"/>
        <v>-1927.8077874000001</v>
      </c>
      <c r="L15" s="454">
        <v>910.47530193</v>
      </c>
      <c r="M15" s="434">
        <f>K15/L15</f>
        <v>-2.1173641759567636</v>
      </c>
      <c r="N15" s="452">
        <v>1.00691168</v>
      </c>
      <c r="O15" s="453">
        <v>9.3751973599999996</v>
      </c>
      <c r="P15" s="454">
        <f t="shared" si="18"/>
        <v>2242.79384639</v>
      </c>
      <c r="Q15" s="434">
        <f t="shared" ref="Q15" si="31">(N15-O15)/P15</f>
        <v>-3.7311880864438736E-3</v>
      </c>
      <c r="R15" s="435">
        <f t="shared" si="27"/>
        <v>1519.08053522</v>
      </c>
      <c r="S15" s="433">
        <f t="shared" si="27"/>
        <v>3446.8883226200001</v>
      </c>
      <c r="T15" s="454">
        <f t="shared" si="4"/>
        <v>-1927.8077874000001</v>
      </c>
      <c r="U15" s="603">
        <v>202538</v>
      </c>
      <c r="V15" s="455">
        <f>(R15-S15)/U15*1000000</f>
        <v>-9518.2523151211135</v>
      </c>
      <c r="W15" s="435">
        <f>R65</f>
        <v>2052.84938431</v>
      </c>
      <c r="X15" s="433">
        <v>16725.530019999998</v>
      </c>
      <c r="Y15" s="434">
        <f>W15/X15</f>
        <v>0.12273747868409854</v>
      </c>
      <c r="Z15" s="706"/>
      <c r="AA15" s="630"/>
      <c r="AB15" s="697"/>
      <c r="AC15" s="630"/>
      <c r="AD15" s="643"/>
    </row>
    <row r="16" spans="1:30" s="637" customFormat="1" ht="17.25" customHeight="1" x14ac:dyDescent="0.2">
      <c r="A16" s="638" t="s">
        <v>443</v>
      </c>
      <c r="B16" s="645">
        <f t="shared" si="7"/>
        <v>347.08082343000012</v>
      </c>
      <c r="C16" s="430">
        <v>242.46214422</v>
      </c>
      <c r="D16" s="430">
        <f>B16-C16</f>
        <v>104.61867921000012</v>
      </c>
      <c r="E16" s="431">
        <f t="shared" si="14"/>
        <v>1.4314845913227325</v>
      </c>
      <c r="F16" s="458">
        <f>B16</f>
        <v>347.08082343000012</v>
      </c>
      <c r="G16" s="430">
        <v>2196.5823220399998</v>
      </c>
      <c r="H16" s="434">
        <f>F16/G16</f>
        <v>0.15800947678922447</v>
      </c>
      <c r="I16" s="639">
        <v>1550.1390752</v>
      </c>
      <c r="J16" s="640">
        <v>3604.4784754399998</v>
      </c>
      <c r="K16" s="454">
        <f t="shared" si="25"/>
        <v>-2054.33940024</v>
      </c>
      <c r="L16" s="454">
        <v>940.35758094000005</v>
      </c>
      <c r="M16" s="434">
        <f>K16/L16</f>
        <v>-2.1846363998963478</v>
      </c>
      <c r="N16" s="456">
        <v>1.7608441399999999</v>
      </c>
      <c r="O16" s="457">
        <v>18.702217600000001</v>
      </c>
      <c r="P16" s="430">
        <f t="shared" si="18"/>
        <v>2196.5823220399998</v>
      </c>
      <c r="Q16" s="431">
        <f>(N16-O16)/P16</f>
        <v>-7.7126057557753112E-3</v>
      </c>
      <c r="R16" s="435">
        <f t="shared" si="27"/>
        <v>1550.1390752</v>
      </c>
      <c r="S16" s="433">
        <f t="shared" si="27"/>
        <v>3604.4784754399998</v>
      </c>
      <c r="T16" s="454">
        <f t="shared" si="4"/>
        <v>-2054.33940024</v>
      </c>
      <c r="U16" s="705">
        <v>204888</v>
      </c>
      <c r="V16" s="455">
        <f>(R16-S16)/U16*1000000</f>
        <v>-10026.645778376478</v>
      </c>
      <c r="W16" s="458">
        <f>R66</f>
        <v>2190.3794038300002</v>
      </c>
      <c r="X16" s="430">
        <v>17161.947137554002</v>
      </c>
      <c r="Y16" s="434">
        <f t="shared" ref="Y16:Y19" si="32">W16/X16</f>
        <v>0.12763000528284946</v>
      </c>
      <c r="Z16" s="706"/>
      <c r="AA16" s="630"/>
      <c r="AB16" s="697"/>
      <c r="AC16" s="630"/>
      <c r="AD16" s="643"/>
    </row>
    <row r="17" spans="1:30" s="779" customFormat="1" ht="17.25" customHeight="1" x14ac:dyDescent="0.2">
      <c r="A17" s="795" t="s">
        <v>521</v>
      </c>
      <c r="B17" s="652">
        <f>L49</f>
        <v>316.96962386999996</v>
      </c>
      <c r="C17" s="461">
        <v>258.89324199999999</v>
      </c>
      <c r="D17" s="461">
        <f>B17-C17</f>
        <v>58.076381869999977</v>
      </c>
      <c r="E17" s="443">
        <f>B17/C17</f>
        <v>1.2243256000865406</v>
      </c>
      <c r="F17" s="444">
        <f>B17</f>
        <v>316.96962386999996</v>
      </c>
      <c r="G17" s="445">
        <v>2289.5498354699998</v>
      </c>
      <c r="H17" s="443">
        <f t="shared" ref="H17:H19" si="33">F17/G17</f>
        <v>0.13844189759902401</v>
      </c>
      <c r="I17" s="771">
        <v>1531.0263213799999</v>
      </c>
      <c r="J17" s="461">
        <v>3641.82780473</v>
      </c>
      <c r="K17" s="461">
        <v>-2110.8014833500001</v>
      </c>
      <c r="L17" s="461">
        <v>987.70458959999996</v>
      </c>
      <c r="M17" s="772">
        <v>-2.1370777311107072</v>
      </c>
      <c r="N17" s="773">
        <v>2.2810975199999999</v>
      </c>
      <c r="O17" s="774">
        <v>24.0996539</v>
      </c>
      <c r="P17" s="832">
        <f t="shared" si="18"/>
        <v>2289.5498354699998</v>
      </c>
      <c r="Q17" s="833">
        <f t="shared" ref="Q17:Q19" si="34">(N17-O17)/P17</f>
        <v>-9.5296271965711887E-3</v>
      </c>
      <c r="R17" s="652">
        <f t="shared" si="27"/>
        <v>1531.0263213799999</v>
      </c>
      <c r="S17" s="653">
        <f t="shared" si="27"/>
        <v>3641.82780473</v>
      </c>
      <c r="T17" s="649">
        <f t="shared" si="4"/>
        <v>-2110.8014833500001</v>
      </c>
      <c r="U17" s="797">
        <v>206138</v>
      </c>
      <c r="V17" s="654">
        <f>(R17-S17)/U17*1000000</f>
        <v>-10239.749504458179</v>
      </c>
      <c r="W17" s="458">
        <f t="shared" ref="W17:W18" si="35">R67</f>
        <v>2338.6782673800003</v>
      </c>
      <c r="X17" s="461">
        <v>17674.681223331001</v>
      </c>
      <c r="Y17" s="437">
        <f t="shared" si="32"/>
        <v>0.13231798852999335</v>
      </c>
      <c r="Z17" s="775"/>
      <c r="AA17" s="776"/>
      <c r="AB17" s="777"/>
      <c r="AC17" s="776"/>
      <c r="AD17" s="778"/>
    </row>
    <row r="18" spans="1:30" s="779" customFormat="1" ht="17.25" customHeight="1" x14ac:dyDescent="0.2">
      <c r="A18" s="798" t="s">
        <v>442</v>
      </c>
      <c r="B18" s="799">
        <f>L50</f>
        <v>135.31400000000002</v>
      </c>
      <c r="C18" s="436">
        <v>354.13200000000001</v>
      </c>
      <c r="D18" s="436">
        <f t="shared" ref="D18" si="36">B18-C18</f>
        <v>-218.81799999999998</v>
      </c>
      <c r="E18" s="834">
        <f>B18/C18</f>
        <v>0.38210045971558632</v>
      </c>
      <c r="F18" s="458">
        <f t="shared" ref="F18:F19" si="37">B18</f>
        <v>135.31400000000002</v>
      </c>
      <c r="G18" s="830">
        <v>2231.9459999999999</v>
      </c>
      <c r="H18" s="831">
        <f>F18/G18</f>
        <v>6.0626018729843835E-2</v>
      </c>
      <c r="I18" s="800"/>
      <c r="J18" s="801"/>
      <c r="K18" s="801"/>
      <c r="L18" s="801"/>
      <c r="M18" s="802"/>
      <c r="N18" s="803">
        <v>1.9079999999999999</v>
      </c>
      <c r="O18" s="804">
        <v>25.071000000000002</v>
      </c>
      <c r="P18" s="430">
        <f t="shared" si="18"/>
        <v>2231.9459999999999</v>
      </c>
      <c r="Q18" s="431">
        <f t="shared" si="34"/>
        <v>-1.0377939251218445E-2</v>
      </c>
      <c r="R18" s="805"/>
      <c r="S18" s="806"/>
      <c r="T18" s="806"/>
      <c r="U18" s="807"/>
      <c r="V18" s="835"/>
      <c r="W18" s="799">
        <f t="shared" si="35"/>
        <v>2567.9270000000001</v>
      </c>
      <c r="X18" s="436">
        <v>18007.935544305001</v>
      </c>
      <c r="Y18" s="439">
        <f t="shared" si="32"/>
        <v>0.14259974407849907</v>
      </c>
      <c r="Z18" s="775"/>
      <c r="AA18" s="776"/>
      <c r="AB18" s="777"/>
      <c r="AC18" s="776"/>
      <c r="AD18" s="778"/>
    </row>
    <row r="19" spans="1:30" s="779" customFormat="1" ht="17.25" customHeight="1" x14ac:dyDescent="0.2">
      <c r="A19" s="795" t="s">
        <v>520</v>
      </c>
      <c r="B19" s="444">
        <f>L51</f>
        <v>117.107</v>
      </c>
      <c r="C19" s="461">
        <v>373.64699999999999</v>
      </c>
      <c r="D19" s="461">
        <f>B19-C19</f>
        <v>-256.53999999999996</v>
      </c>
      <c r="E19" s="443">
        <f>B19/C19</f>
        <v>0.3134161387619866</v>
      </c>
      <c r="F19" s="808">
        <f t="shared" si="37"/>
        <v>117.107</v>
      </c>
      <c r="G19" s="461">
        <v>2242.1570000000002</v>
      </c>
      <c r="H19" s="443">
        <f t="shared" si="33"/>
        <v>5.2229616391715653E-2</v>
      </c>
      <c r="I19" s="768"/>
      <c r="J19" s="769"/>
      <c r="K19" s="769"/>
      <c r="L19" s="769"/>
      <c r="M19" s="770"/>
      <c r="N19" s="773">
        <v>1.734</v>
      </c>
      <c r="O19" s="774">
        <v>18.399999999999999</v>
      </c>
      <c r="P19" s="445">
        <f t="shared" si="18"/>
        <v>2242.1570000000002</v>
      </c>
      <c r="Q19" s="443">
        <f t="shared" si="34"/>
        <v>-7.4330209704315956E-3</v>
      </c>
      <c r="R19" s="768"/>
      <c r="S19" s="769"/>
      <c r="T19" s="769"/>
      <c r="U19" s="796"/>
      <c r="V19" s="836"/>
      <c r="W19" s="771">
        <f>R69</f>
        <v>2636.8070000000002</v>
      </c>
      <c r="X19" s="461">
        <v>18251.897135665</v>
      </c>
      <c r="Y19" s="443">
        <f t="shared" si="32"/>
        <v>0.14446755755858195</v>
      </c>
      <c r="Z19" s="775"/>
      <c r="AA19" s="776"/>
      <c r="AB19" s="777"/>
      <c r="AC19" s="776"/>
      <c r="AD19" s="778"/>
    </row>
    <row r="20" spans="1:30" s="663" customFormat="1" ht="3.75" customHeight="1" x14ac:dyDescent="0.2">
      <c r="A20" s="662"/>
      <c r="B20" s="223"/>
      <c r="C20" s="223"/>
      <c r="D20" s="223"/>
      <c r="E20" s="225"/>
      <c r="F20" s="223"/>
      <c r="G20" s="223"/>
      <c r="H20" s="225"/>
      <c r="I20" s="223"/>
      <c r="J20" s="223"/>
      <c r="K20" s="223"/>
      <c r="L20" s="223"/>
      <c r="M20" s="225"/>
      <c r="N20" s="222"/>
      <c r="O20" s="222"/>
      <c r="P20" s="223"/>
      <c r="Q20" s="225"/>
      <c r="R20" s="223"/>
      <c r="S20" s="223"/>
      <c r="T20" s="223"/>
      <c r="U20" s="226"/>
      <c r="V20" s="226"/>
      <c r="W20" s="223"/>
      <c r="X20" s="223"/>
      <c r="Y20" s="225"/>
      <c r="Z20" s="631"/>
      <c r="AA20" s="630"/>
      <c r="AB20" s="630"/>
      <c r="AC20" s="630"/>
    </row>
    <row r="21" spans="1:30" ht="15" customHeight="1" x14ac:dyDescent="0.2">
      <c r="A21" s="630" t="s">
        <v>13</v>
      </c>
    </row>
    <row r="22" spans="1:30" ht="25.5" customHeight="1" x14ac:dyDescent="0.2">
      <c r="A22" s="922" t="s">
        <v>534</v>
      </c>
      <c r="B22" s="922"/>
      <c r="C22" s="922"/>
      <c r="D22" s="922"/>
      <c r="E22" s="922"/>
      <c r="F22" s="922"/>
      <c r="G22" s="922"/>
      <c r="H22" s="922"/>
      <c r="I22" s="922"/>
      <c r="J22" s="922"/>
      <c r="K22" s="922"/>
      <c r="L22" s="922"/>
      <c r="M22" s="922"/>
      <c r="N22" s="922"/>
      <c r="O22" s="922"/>
      <c r="P22" s="922"/>
      <c r="Q22" s="922"/>
    </row>
    <row r="24" spans="1:30" x14ac:dyDescent="0.2">
      <c r="A24" s="915" t="s">
        <v>51</v>
      </c>
      <c r="B24" s="878" t="s">
        <v>7</v>
      </c>
      <c r="C24" s="879"/>
      <c r="D24" s="879"/>
      <c r="E24" s="880"/>
      <c r="F24" s="883" t="s">
        <v>8</v>
      </c>
      <c r="G24" s="884"/>
      <c r="H24" s="885"/>
      <c r="I24" s="878" t="s">
        <v>9</v>
      </c>
      <c r="J24" s="881"/>
      <c r="K24" s="881"/>
      <c r="L24" s="881"/>
      <c r="M24" s="882"/>
      <c r="N24" s="878" t="s">
        <v>10</v>
      </c>
      <c r="O24" s="879"/>
      <c r="P24" s="881"/>
      <c r="Q24" s="882"/>
      <c r="R24" s="878" t="s">
        <v>436</v>
      </c>
      <c r="S24" s="923"/>
      <c r="T24" s="923"/>
      <c r="U24" s="923"/>
      <c r="V24" s="924"/>
      <c r="W24" s="878" t="s">
        <v>22</v>
      </c>
      <c r="X24" s="881"/>
      <c r="Y24" s="882"/>
    </row>
    <row r="25" spans="1:30" s="631" customFormat="1" x14ac:dyDescent="0.2">
      <c r="A25" s="916"/>
      <c r="B25" s="886" t="s">
        <v>37</v>
      </c>
      <c r="C25" s="887"/>
      <c r="D25" s="887"/>
      <c r="E25" s="888"/>
      <c r="F25" s="889" t="s">
        <v>37</v>
      </c>
      <c r="G25" s="890"/>
      <c r="H25" s="891"/>
      <c r="I25" s="886" t="s">
        <v>37</v>
      </c>
      <c r="J25" s="892"/>
      <c r="K25" s="892"/>
      <c r="L25" s="892"/>
      <c r="M25" s="893"/>
      <c r="N25" s="886" t="s">
        <v>37</v>
      </c>
      <c r="O25" s="887"/>
      <c r="P25" s="892"/>
      <c r="Q25" s="893"/>
      <c r="R25" s="664" t="s">
        <v>37</v>
      </c>
      <c r="S25" s="665"/>
      <c r="T25" s="665"/>
      <c r="U25" s="665"/>
      <c r="V25" s="666"/>
      <c r="W25" s="886" t="s">
        <v>37</v>
      </c>
      <c r="X25" s="892"/>
      <c r="Y25" s="893"/>
    </row>
    <row r="26" spans="1:30" s="667" customFormat="1" ht="51" customHeight="1" x14ac:dyDescent="0.2">
      <c r="A26" s="916"/>
      <c r="B26" s="897" t="s">
        <v>40</v>
      </c>
      <c r="C26" s="898"/>
      <c r="D26" s="898"/>
      <c r="E26" s="899"/>
      <c r="F26" s="905" t="s">
        <v>42</v>
      </c>
      <c r="G26" s="906"/>
      <c r="H26" s="907"/>
      <c r="I26" s="897" t="s">
        <v>43</v>
      </c>
      <c r="J26" s="898"/>
      <c r="K26" s="898"/>
      <c r="L26" s="898"/>
      <c r="M26" s="899"/>
      <c r="N26" s="897" t="s">
        <v>48</v>
      </c>
      <c r="O26" s="898"/>
      <c r="P26" s="898"/>
      <c r="Q26" s="899"/>
      <c r="R26" s="897" t="s">
        <v>52</v>
      </c>
      <c r="S26" s="925"/>
      <c r="T26" s="925"/>
      <c r="U26" s="925"/>
      <c r="V26" s="926"/>
      <c r="W26" s="897"/>
      <c r="X26" s="898"/>
      <c r="Y26" s="899"/>
    </row>
    <row r="27" spans="1:30" s="631" customFormat="1" x14ac:dyDescent="0.2">
      <c r="A27" s="916"/>
      <c r="B27" s="886" t="s">
        <v>45</v>
      </c>
      <c r="C27" s="887"/>
      <c r="D27" s="887"/>
      <c r="E27" s="888"/>
      <c r="F27" s="886" t="s">
        <v>45</v>
      </c>
      <c r="G27" s="887"/>
      <c r="H27" s="887"/>
      <c r="I27" s="886" t="s">
        <v>45</v>
      </c>
      <c r="J27" s="887"/>
      <c r="K27" s="887"/>
      <c r="L27" s="887"/>
      <c r="M27" s="888"/>
      <c r="N27" s="886" t="s">
        <v>45</v>
      </c>
      <c r="O27" s="887"/>
      <c r="P27" s="892"/>
      <c r="Q27" s="893"/>
      <c r="R27" s="886" t="s">
        <v>45</v>
      </c>
      <c r="S27" s="908"/>
      <c r="T27" s="908"/>
      <c r="U27" s="908"/>
      <c r="V27" s="909"/>
      <c r="W27" s="886" t="s">
        <v>45</v>
      </c>
      <c r="X27" s="892"/>
      <c r="Y27" s="893"/>
    </row>
    <row r="28" spans="1:30" s="668" customFormat="1" ht="12.75" customHeight="1" x14ac:dyDescent="0.2">
      <c r="A28" s="916"/>
      <c r="B28" s="918" t="s">
        <v>46</v>
      </c>
      <c r="C28" s="919"/>
      <c r="D28" s="919"/>
      <c r="E28" s="920"/>
      <c r="F28" s="918" t="s">
        <v>46</v>
      </c>
      <c r="G28" s="919"/>
      <c r="H28" s="919"/>
      <c r="I28" s="921" t="s">
        <v>81</v>
      </c>
      <c r="J28" s="901"/>
      <c r="K28" s="901"/>
      <c r="L28" s="901"/>
      <c r="M28" s="902"/>
      <c r="N28" s="921" t="s">
        <v>85</v>
      </c>
      <c r="O28" s="901"/>
      <c r="P28" s="901"/>
      <c r="Q28" s="902"/>
      <c r="R28" s="900" t="s">
        <v>86</v>
      </c>
      <c r="S28" s="910"/>
      <c r="T28" s="910"/>
      <c r="U28" s="910"/>
      <c r="V28" s="911"/>
      <c r="W28" s="900" t="s">
        <v>53</v>
      </c>
      <c r="X28" s="901"/>
      <c r="Y28" s="902"/>
    </row>
    <row r="29" spans="1:30" s="668" customFormat="1" ht="12.75" customHeight="1" x14ac:dyDescent="0.2">
      <c r="A29" s="916"/>
      <c r="B29" s="894" t="s">
        <v>47</v>
      </c>
      <c r="C29" s="895"/>
      <c r="D29" s="895"/>
      <c r="E29" s="896"/>
      <c r="F29" s="894" t="s">
        <v>12</v>
      </c>
      <c r="G29" s="895"/>
      <c r="H29" s="895"/>
      <c r="I29" s="894" t="s">
        <v>82</v>
      </c>
      <c r="J29" s="895"/>
      <c r="K29" s="895"/>
      <c r="L29" s="895"/>
      <c r="M29" s="896"/>
      <c r="N29" s="894" t="s">
        <v>12</v>
      </c>
      <c r="O29" s="895"/>
      <c r="P29" s="895"/>
      <c r="Q29" s="896"/>
      <c r="R29" s="894" t="s">
        <v>434</v>
      </c>
      <c r="S29" s="903"/>
      <c r="T29" s="903"/>
      <c r="U29" s="903"/>
      <c r="V29" s="904"/>
      <c r="W29" s="894" t="s">
        <v>54</v>
      </c>
      <c r="X29" s="895"/>
      <c r="Y29" s="896"/>
    </row>
    <row r="30" spans="1:30" s="631" customFormat="1" x14ac:dyDescent="0.2">
      <c r="A30" s="916"/>
      <c r="B30" s="886" t="s">
        <v>38</v>
      </c>
      <c r="C30" s="887"/>
      <c r="D30" s="887"/>
      <c r="E30" s="888"/>
      <c r="F30" s="889" t="s">
        <v>38</v>
      </c>
      <c r="G30" s="890"/>
      <c r="H30" s="891"/>
      <c r="I30" s="886" t="s">
        <v>38</v>
      </c>
      <c r="J30" s="892"/>
      <c r="K30" s="892"/>
      <c r="L30" s="892"/>
      <c r="M30" s="893"/>
      <c r="N30" s="886" t="s">
        <v>38</v>
      </c>
      <c r="O30" s="887"/>
      <c r="P30" s="892"/>
      <c r="Q30" s="893"/>
      <c r="R30" s="886" t="s">
        <v>38</v>
      </c>
      <c r="S30" s="908"/>
      <c r="T30" s="908"/>
      <c r="U30" s="908"/>
      <c r="V30" s="909"/>
      <c r="W30" s="886" t="s">
        <v>38</v>
      </c>
      <c r="X30" s="892"/>
      <c r="Y30" s="893"/>
    </row>
    <row r="31" spans="1:30" s="668" customFormat="1" ht="42" customHeight="1" x14ac:dyDescent="0.2">
      <c r="A31" s="916"/>
      <c r="B31" s="894" t="s">
        <v>41</v>
      </c>
      <c r="C31" s="895"/>
      <c r="D31" s="895"/>
      <c r="E31" s="896"/>
      <c r="F31" s="905" t="s">
        <v>393</v>
      </c>
      <c r="G31" s="906"/>
      <c r="H31" s="907"/>
      <c r="I31" s="894" t="s">
        <v>44</v>
      </c>
      <c r="J31" s="895"/>
      <c r="K31" s="895"/>
      <c r="L31" s="895"/>
      <c r="M31" s="896"/>
      <c r="N31" s="894" t="s">
        <v>49</v>
      </c>
      <c r="O31" s="895"/>
      <c r="P31" s="895"/>
      <c r="Q31" s="896"/>
      <c r="R31" s="894" t="s">
        <v>439</v>
      </c>
      <c r="S31" s="903"/>
      <c r="T31" s="903"/>
      <c r="U31" s="903"/>
      <c r="V31" s="904"/>
      <c r="W31" s="894" t="s">
        <v>55</v>
      </c>
      <c r="X31" s="895"/>
      <c r="Y31" s="896"/>
    </row>
    <row r="32" spans="1:30" s="631" customFormat="1" x14ac:dyDescent="0.2">
      <c r="A32" s="916"/>
      <c r="B32" s="886" t="s">
        <v>39</v>
      </c>
      <c r="C32" s="887"/>
      <c r="D32" s="887"/>
      <c r="E32" s="887"/>
      <c r="F32" s="908"/>
      <c r="G32" s="908"/>
      <c r="H32" s="909"/>
      <c r="I32" s="886" t="s">
        <v>39</v>
      </c>
      <c r="J32" s="887"/>
      <c r="K32" s="887"/>
      <c r="L32" s="887"/>
      <c r="M32" s="888"/>
      <c r="N32" s="886" t="s">
        <v>39</v>
      </c>
      <c r="O32" s="887"/>
      <c r="P32" s="887"/>
      <c r="Q32" s="888"/>
      <c r="R32" s="886" t="s">
        <v>39</v>
      </c>
      <c r="S32" s="908"/>
      <c r="T32" s="908"/>
      <c r="U32" s="908"/>
      <c r="V32" s="909"/>
      <c r="W32" s="886" t="s">
        <v>39</v>
      </c>
      <c r="X32" s="887"/>
      <c r="Y32" s="888"/>
    </row>
    <row r="33" spans="1:30" s="668" customFormat="1" ht="67.5" customHeight="1" x14ac:dyDescent="0.2">
      <c r="A33" s="917"/>
      <c r="B33" s="894" t="s">
        <v>441</v>
      </c>
      <c r="C33" s="895"/>
      <c r="D33" s="895"/>
      <c r="E33" s="895"/>
      <c r="F33" s="903"/>
      <c r="G33" s="903"/>
      <c r="H33" s="904"/>
      <c r="I33" s="894" t="s">
        <v>438</v>
      </c>
      <c r="J33" s="895"/>
      <c r="K33" s="895"/>
      <c r="L33" s="895"/>
      <c r="M33" s="896"/>
      <c r="N33" s="894" t="s">
        <v>50</v>
      </c>
      <c r="O33" s="895"/>
      <c r="P33" s="895"/>
      <c r="Q33" s="896"/>
      <c r="R33" s="894" t="s">
        <v>440</v>
      </c>
      <c r="S33" s="903"/>
      <c r="T33" s="903"/>
      <c r="U33" s="903"/>
      <c r="V33" s="904"/>
      <c r="W33" s="894" t="s">
        <v>56</v>
      </c>
      <c r="X33" s="895"/>
      <c r="Y33" s="896"/>
    </row>
    <row r="34" spans="1:30" s="668" customFormat="1" ht="3.75" customHeight="1" x14ac:dyDescent="0.2">
      <c r="A34" s="669"/>
      <c r="B34" s="670"/>
      <c r="C34" s="670"/>
      <c r="D34" s="670"/>
      <c r="E34" s="670"/>
      <c r="F34" s="671"/>
      <c r="G34" s="671"/>
      <c r="H34" s="671"/>
      <c r="I34" s="670"/>
      <c r="J34" s="670"/>
      <c r="K34" s="670"/>
      <c r="L34" s="670"/>
      <c r="M34" s="670"/>
      <c r="N34" s="670"/>
      <c r="O34" s="670"/>
      <c r="P34" s="670"/>
      <c r="Q34" s="670"/>
      <c r="R34" s="670"/>
      <c r="S34" s="670"/>
      <c r="T34" s="670"/>
      <c r="U34" s="670"/>
      <c r="V34" s="670"/>
      <c r="W34" s="670"/>
      <c r="X34" s="670"/>
      <c r="Y34" s="670"/>
    </row>
    <row r="35" spans="1:30" x14ac:dyDescent="0.2">
      <c r="A35" s="630" t="s">
        <v>535</v>
      </c>
      <c r="N35" s="672"/>
      <c r="O35" s="672"/>
      <c r="Z35" s="630"/>
    </row>
    <row r="36" spans="1:30" x14ac:dyDescent="0.2">
      <c r="A36" s="632"/>
      <c r="B36" s="878" t="s">
        <v>135</v>
      </c>
      <c r="C36" s="879"/>
      <c r="D36" s="879"/>
      <c r="E36" s="879"/>
      <c r="F36" s="913"/>
      <c r="G36" s="913"/>
      <c r="H36" s="913"/>
      <c r="I36" s="913"/>
      <c r="J36" s="913"/>
      <c r="K36" s="913"/>
      <c r="L36" s="914"/>
      <c r="N36" s="668"/>
      <c r="O36" s="668"/>
      <c r="P36" s="668"/>
      <c r="Q36" s="668"/>
      <c r="R36" s="668"/>
      <c r="S36" s="668"/>
      <c r="T36" s="668"/>
      <c r="U36" s="668"/>
      <c r="V36" s="668"/>
      <c r="W36" s="668"/>
      <c r="X36" s="668"/>
      <c r="Y36" s="668"/>
      <c r="Z36" s="673"/>
    </row>
    <row r="37" spans="1:30" ht="52.5" customHeight="1" x14ac:dyDescent="0.2">
      <c r="A37" s="633" t="s">
        <v>4</v>
      </c>
      <c r="B37" s="634" t="s">
        <v>136</v>
      </c>
      <c r="C37" s="674" t="s">
        <v>271</v>
      </c>
      <c r="D37" s="674" t="s">
        <v>137</v>
      </c>
      <c r="E37" s="674" t="s">
        <v>138</v>
      </c>
      <c r="F37" s="674" t="s">
        <v>142</v>
      </c>
      <c r="G37" s="674" t="s">
        <v>143</v>
      </c>
      <c r="H37" s="674" t="s">
        <v>139</v>
      </c>
      <c r="I37" s="674" t="s">
        <v>144</v>
      </c>
      <c r="J37" s="674" t="s">
        <v>140</v>
      </c>
      <c r="K37" s="674" t="s">
        <v>141</v>
      </c>
      <c r="L37" s="675" t="s">
        <v>312</v>
      </c>
      <c r="N37" s="668"/>
      <c r="O37" s="668"/>
      <c r="P37" s="668"/>
      <c r="Q37" s="668"/>
      <c r="R37" s="668"/>
      <c r="S37" s="668"/>
      <c r="T37" s="668"/>
      <c r="U37" s="668"/>
      <c r="V37" s="668"/>
      <c r="W37" s="668"/>
      <c r="X37" s="668"/>
      <c r="Y37" s="668"/>
      <c r="Z37" s="676"/>
      <c r="AA37" s="676"/>
      <c r="AB37" s="677"/>
      <c r="AC37" s="676"/>
      <c r="AD37" s="676"/>
    </row>
    <row r="38" spans="1:30" s="672" customFormat="1" x14ac:dyDescent="0.2">
      <c r="A38" s="638" t="s">
        <v>127</v>
      </c>
      <c r="B38" s="639">
        <v>-33.548000000000002</v>
      </c>
      <c r="C38" s="640">
        <v>73.802000000000007</v>
      </c>
      <c r="D38" s="640">
        <v>5.0919999999999996</v>
      </c>
      <c r="E38" s="640">
        <v>-21.838000000000001</v>
      </c>
      <c r="F38" s="640">
        <v>0.35099999999999998</v>
      </c>
      <c r="G38" s="640">
        <v>81.477000000000004</v>
      </c>
      <c r="H38" s="640"/>
      <c r="I38" s="640"/>
      <c r="J38" s="640">
        <v>102.798</v>
      </c>
      <c r="K38" s="640">
        <v>-29.715</v>
      </c>
      <c r="L38" s="678">
        <f>SUM(B38:K38)</f>
        <v>178.41900000000001</v>
      </c>
      <c r="N38" s="668"/>
      <c r="O38" s="668"/>
      <c r="P38" s="668"/>
      <c r="Q38" s="668"/>
      <c r="R38" s="668"/>
      <c r="S38" s="668"/>
      <c r="T38" s="668"/>
      <c r="U38" s="668"/>
      <c r="V38" s="668"/>
      <c r="W38" s="668"/>
      <c r="X38" s="668"/>
      <c r="Y38" s="668"/>
      <c r="Z38" s="679"/>
    </row>
    <row r="39" spans="1:30" x14ac:dyDescent="0.2">
      <c r="A39" s="644" t="s">
        <v>128</v>
      </c>
      <c r="B39" s="645">
        <v>55.155999999999999</v>
      </c>
      <c r="C39" s="454">
        <v>64.387</v>
      </c>
      <c r="D39" s="454">
        <v>21.715</v>
      </c>
      <c r="E39" s="454">
        <v>-26.956</v>
      </c>
      <c r="F39" s="454">
        <v>3.141</v>
      </c>
      <c r="G39" s="454">
        <v>72.314999999999998</v>
      </c>
      <c r="H39" s="454"/>
      <c r="I39" s="454">
        <v>-6.3789999999999996</v>
      </c>
      <c r="J39" s="454">
        <v>64.435000000000002</v>
      </c>
      <c r="K39" s="454">
        <f>-8.681-60.811</f>
        <v>-69.492000000000004</v>
      </c>
      <c r="L39" s="680">
        <f t="shared" ref="L39:L44" si="38">SUM(B39:K39)</f>
        <v>178.322</v>
      </c>
      <c r="N39" s="668"/>
      <c r="O39" s="668"/>
      <c r="P39" s="668"/>
      <c r="Q39" s="668"/>
      <c r="R39" s="668"/>
      <c r="S39" s="668"/>
      <c r="T39" s="668"/>
      <c r="U39" s="668"/>
      <c r="V39" s="668"/>
      <c r="W39" s="668"/>
      <c r="X39" s="668"/>
      <c r="Y39" s="668"/>
      <c r="Z39" s="679"/>
    </row>
    <row r="40" spans="1:30" x14ac:dyDescent="0.2">
      <c r="A40" s="644" t="s">
        <v>129</v>
      </c>
      <c r="B40" s="645">
        <v>16.689</v>
      </c>
      <c r="C40" s="454">
        <v>82.218999999999994</v>
      </c>
      <c r="D40" s="454">
        <v>5.4349999999999996</v>
      </c>
      <c r="E40" s="454">
        <v>-21.012</v>
      </c>
      <c r="F40" s="454">
        <v>-0.71899999999999997</v>
      </c>
      <c r="G40" s="454">
        <v>85.994</v>
      </c>
      <c r="H40" s="454">
        <v>80</v>
      </c>
      <c r="I40" s="454">
        <v>-8.4090000000000007</v>
      </c>
      <c r="J40" s="454">
        <v>92.346000000000004</v>
      </c>
      <c r="K40" s="454">
        <f>-9.136-111.643</f>
        <v>-120.779</v>
      </c>
      <c r="L40" s="680">
        <f t="shared" si="38"/>
        <v>211.76400000000001</v>
      </c>
      <c r="N40" s="668"/>
      <c r="O40" s="668"/>
      <c r="P40" s="668"/>
      <c r="Q40" s="668"/>
      <c r="R40" s="668"/>
      <c r="S40" s="668"/>
      <c r="T40" s="668"/>
      <c r="U40" s="668"/>
      <c r="V40" s="668"/>
      <c r="W40" s="668"/>
      <c r="X40" s="668"/>
      <c r="Y40" s="668"/>
      <c r="Z40" s="679"/>
    </row>
    <row r="41" spans="1:30" x14ac:dyDescent="0.2">
      <c r="A41" s="647" t="s">
        <v>130</v>
      </c>
      <c r="B41" s="648">
        <v>-51.468000000000004</v>
      </c>
      <c r="C41" s="649">
        <v>71.468000000000004</v>
      </c>
      <c r="D41" s="649">
        <v>2.3620000000000001</v>
      </c>
      <c r="E41" s="649">
        <v>-24.744</v>
      </c>
      <c r="F41" s="649">
        <v>0.182</v>
      </c>
      <c r="G41" s="649">
        <v>117.55200000000001</v>
      </c>
      <c r="H41" s="649"/>
      <c r="I41" s="649">
        <v>-4</v>
      </c>
      <c r="J41" s="649">
        <v>91.486999999999995</v>
      </c>
      <c r="K41" s="649">
        <v>-19.613</v>
      </c>
      <c r="L41" s="681">
        <f t="shared" si="38"/>
        <v>183.226</v>
      </c>
      <c r="N41" s="668"/>
      <c r="O41" s="668"/>
      <c r="P41" s="668"/>
      <c r="Q41" s="668"/>
      <c r="R41" s="668"/>
      <c r="S41" s="668"/>
      <c r="T41" s="668"/>
      <c r="U41" s="668"/>
      <c r="V41" s="668"/>
      <c r="W41" s="668"/>
      <c r="X41" s="668"/>
      <c r="Y41" s="668"/>
      <c r="Z41" s="679"/>
    </row>
    <row r="42" spans="1:30" x14ac:dyDescent="0.2">
      <c r="A42" s="655" t="s">
        <v>131</v>
      </c>
      <c r="B42" s="656">
        <v>128.81700000000001</v>
      </c>
      <c r="C42" s="657">
        <v>79.247</v>
      </c>
      <c r="D42" s="657">
        <v>2.1240000000000001</v>
      </c>
      <c r="E42" s="657">
        <v>-20.395</v>
      </c>
      <c r="F42" s="657">
        <v>-7.9740000000000002</v>
      </c>
      <c r="G42" s="657">
        <v>113.9</v>
      </c>
      <c r="H42" s="657"/>
      <c r="I42" s="657">
        <v>-6.6340000000000003</v>
      </c>
      <c r="J42" s="657">
        <v>0.28999999999999998</v>
      </c>
      <c r="K42" s="657">
        <v>-44.500999999999998</v>
      </c>
      <c r="L42" s="682">
        <f t="shared" si="38"/>
        <v>244.87400000000005</v>
      </c>
      <c r="N42" s="668"/>
      <c r="O42" s="668"/>
      <c r="P42" s="668"/>
      <c r="Q42" s="668"/>
      <c r="R42" s="668"/>
      <c r="S42" s="668"/>
      <c r="T42" s="668"/>
      <c r="U42" s="668"/>
      <c r="V42" s="668"/>
      <c r="W42" s="668"/>
      <c r="X42" s="668"/>
      <c r="Y42" s="668"/>
      <c r="Z42" s="679"/>
    </row>
    <row r="43" spans="1:30" x14ac:dyDescent="0.2">
      <c r="A43" s="644" t="s">
        <v>132</v>
      </c>
      <c r="B43" s="645">
        <v>2.7360000000000002</v>
      </c>
      <c r="C43" s="454">
        <v>71.626999999999995</v>
      </c>
      <c r="D43" s="454">
        <v>2.0394369999999999</v>
      </c>
      <c r="E43" s="454">
        <v>-9.4179999999999993</v>
      </c>
      <c r="F43" s="454">
        <v>0.06</v>
      </c>
      <c r="G43" s="454">
        <v>116.438</v>
      </c>
      <c r="H43" s="454">
        <v>90</v>
      </c>
      <c r="I43" s="454">
        <v>-9.6050000000000004</v>
      </c>
      <c r="J43" s="454">
        <v>44.579000000000001</v>
      </c>
      <c r="K43" s="454">
        <v>-22.452999999999999</v>
      </c>
      <c r="L43" s="680">
        <f t="shared" si="38"/>
        <v>286.00343700000002</v>
      </c>
      <c r="N43" s="668"/>
      <c r="O43" s="668"/>
      <c r="P43" s="668"/>
      <c r="Q43" s="668"/>
      <c r="R43" s="668"/>
      <c r="S43" s="668"/>
      <c r="T43" s="668"/>
      <c r="U43" s="668"/>
      <c r="V43" s="668"/>
      <c r="W43" s="668"/>
      <c r="X43" s="668"/>
      <c r="Y43" s="668"/>
      <c r="Z43" s="679"/>
    </row>
    <row r="44" spans="1:30" x14ac:dyDescent="0.2">
      <c r="A44" s="644" t="s">
        <v>133</v>
      </c>
      <c r="B44" s="645">
        <v>53.616999999999997</v>
      </c>
      <c r="C44" s="454">
        <v>69.099000000000004</v>
      </c>
      <c r="D44" s="454">
        <v>8.5120000000000005</v>
      </c>
      <c r="E44" s="454">
        <v>-6.5819999999999999</v>
      </c>
      <c r="F44" s="454"/>
      <c r="G44" s="454">
        <v>113.786</v>
      </c>
      <c r="H44" s="454"/>
      <c r="I44" s="454">
        <v>-7.048</v>
      </c>
      <c r="J44" s="454">
        <v>80.444000000000003</v>
      </c>
      <c r="K44" s="454">
        <v>-11.516</v>
      </c>
      <c r="L44" s="680">
        <f t="shared" si="38"/>
        <v>300.31200000000001</v>
      </c>
      <c r="N44" s="668"/>
      <c r="O44" s="668"/>
      <c r="P44" s="668"/>
      <c r="Q44" s="668"/>
      <c r="R44" s="668"/>
      <c r="S44" s="668"/>
      <c r="T44" s="668"/>
      <c r="U44" s="668"/>
      <c r="V44" s="668"/>
      <c r="W44" s="668"/>
      <c r="X44" s="668"/>
      <c r="Y44" s="668"/>
      <c r="Z44" s="679"/>
    </row>
    <row r="45" spans="1:30" x14ac:dyDescent="0.2">
      <c r="A45" s="647" t="s">
        <v>134</v>
      </c>
      <c r="B45" s="648">
        <v>81.899647000000002</v>
      </c>
      <c r="C45" s="649">
        <v>77.624646999999996</v>
      </c>
      <c r="D45" s="649">
        <v>7.3837799999999998</v>
      </c>
      <c r="E45" s="649">
        <v>-7.7401619999999998</v>
      </c>
      <c r="F45" s="649">
        <v>4.1299679999999999</v>
      </c>
      <c r="G45" s="649">
        <v>110.651741</v>
      </c>
      <c r="H45" s="649">
        <v>40</v>
      </c>
      <c r="I45" s="649">
        <v>-5.1079999999999997</v>
      </c>
      <c r="J45" s="649">
        <v>0.12983700000000001</v>
      </c>
      <c r="K45" s="649">
        <v>-38.150129</v>
      </c>
      <c r="L45" s="681">
        <f>SUM(B45:K45)</f>
        <v>270.82132899999999</v>
      </c>
      <c r="N45" s="668"/>
      <c r="O45" s="668"/>
      <c r="P45" s="668"/>
      <c r="Q45" s="668"/>
      <c r="R45" s="668"/>
      <c r="S45" s="668"/>
      <c r="T45" s="668"/>
      <c r="U45" s="668"/>
      <c r="V45" s="668"/>
      <c r="W45" s="668"/>
      <c r="X45" s="668"/>
      <c r="Y45" s="668"/>
      <c r="Z45" s="679"/>
    </row>
    <row r="46" spans="1:30" x14ac:dyDescent="0.2">
      <c r="A46" s="655" t="s">
        <v>399</v>
      </c>
      <c r="B46" s="450">
        <v>134.30065300000001</v>
      </c>
      <c r="C46" s="449">
        <v>77.951887999999997</v>
      </c>
      <c r="D46" s="449">
        <v>4.8252629999999996</v>
      </c>
      <c r="E46" s="449">
        <v>-4.7647000000000002E-2</v>
      </c>
      <c r="F46" s="449">
        <v>-9.1851000000000002E-2</v>
      </c>
      <c r="G46" s="449">
        <v>109.992091</v>
      </c>
      <c r="H46" s="449">
        <v>67</v>
      </c>
      <c r="I46" s="449">
        <v>-5.4298970000000004</v>
      </c>
      <c r="J46" s="449"/>
      <c r="K46" s="449">
        <v>-56.436228999999997</v>
      </c>
      <c r="L46" s="682">
        <f>SUM(B46:K46)</f>
        <v>332.06427100000008</v>
      </c>
      <c r="N46" s="668"/>
      <c r="O46" s="668"/>
      <c r="P46" s="668"/>
      <c r="Q46" s="668"/>
      <c r="R46" s="668"/>
      <c r="S46" s="668"/>
      <c r="T46" s="668"/>
      <c r="U46" s="668"/>
      <c r="V46" s="668"/>
      <c r="W46" s="668"/>
      <c r="X46" s="668"/>
      <c r="Y46" s="668"/>
      <c r="Z46" s="679"/>
    </row>
    <row r="47" spans="1:30" x14ac:dyDescent="0.2">
      <c r="A47" s="644" t="s">
        <v>429</v>
      </c>
      <c r="B47" s="645">
        <v>205.58511424</v>
      </c>
      <c r="C47" s="454">
        <v>87.546640920000002</v>
      </c>
      <c r="D47" s="454">
        <v>2.68181783</v>
      </c>
      <c r="E47" s="454">
        <v>-1.76835353</v>
      </c>
      <c r="F47" s="454">
        <v>-1.62485268</v>
      </c>
      <c r="G47" s="454">
        <v>116.15624212</v>
      </c>
      <c r="H47" s="454">
        <v>60</v>
      </c>
      <c r="I47" s="454">
        <v>-8.2959456399999993</v>
      </c>
      <c r="J47" s="454">
        <v>19.712</v>
      </c>
      <c r="K47" s="454">
        <v>-61.126775000000002</v>
      </c>
      <c r="L47" s="680">
        <f>SUM(B47:K47)</f>
        <v>418.86588825999996</v>
      </c>
      <c r="N47" s="668"/>
      <c r="O47" s="668"/>
      <c r="P47" s="668"/>
      <c r="Q47" s="668"/>
      <c r="R47" s="668"/>
      <c r="S47" s="668"/>
      <c r="T47" s="668"/>
      <c r="U47" s="668"/>
      <c r="V47" s="668"/>
      <c r="W47" s="668"/>
      <c r="X47" s="668"/>
      <c r="Y47" s="668"/>
      <c r="Z47" s="679"/>
    </row>
    <row r="48" spans="1:30" x14ac:dyDescent="0.2">
      <c r="A48" s="661" t="s">
        <v>443</v>
      </c>
      <c r="B48" s="683">
        <v>162.36581848000014</v>
      </c>
      <c r="C48" s="684">
        <v>88.384671969999999</v>
      </c>
      <c r="D48" s="684">
        <v>4.3747330699999996</v>
      </c>
      <c r="E48" s="684">
        <v>-0.32274452999999997</v>
      </c>
      <c r="F48" s="684">
        <v>-0.45117499999999999</v>
      </c>
      <c r="G48" s="684">
        <v>134.63849524</v>
      </c>
      <c r="H48" s="684"/>
      <c r="I48" s="684">
        <v>-18.555913050000001</v>
      </c>
      <c r="J48" s="684">
        <v>2.4441536300000002</v>
      </c>
      <c r="K48" s="684">
        <v>-25.797216379999998</v>
      </c>
      <c r="L48" s="685">
        <f t="shared" ref="L48" si="39">SUM(B48:K48)</f>
        <v>347.08082343000012</v>
      </c>
      <c r="N48" s="668"/>
      <c r="O48" s="668"/>
      <c r="P48" s="668"/>
      <c r="Q48" s="668"/>
      <c r="R48" s="668"/>
      <c r="S48" s="668"/>
      <c r="T48" s="668"/>
      <c r="U48" s="668"/>
      <c r="V48" s="668"/>
      <c r="W48" s="668"/>
      <c r="X48" s="668"/>
      <c r="Y48" s="668"/>
      <c r="Z48" s="679"/>
    </row>
    <row r="49" spans="1:26" x14ac:dyDescent="0.2">
      <c r="A49" s="781" t="s">
        <v>521</v>
      </c>
      <c r="B49" s="783">
        <v>87.697453359999997</v>
      </c>
      <c r="C49" s="784">
        <v>91.511599129999993</v>
      </c>
      <c r="D49" s="784">
        <v>2.9634550200000001</v>
      </c>
      <c r="E49" s="784">
        <v>-8.8483099599999999</v>
      </c>
      <c r="F49" s="784">
        <v>-0.56793397999999995</v>
      </c>
      <c r="G49" s="784">
        <v>147.56825798</v>
      </c>
      <c r="H49" s="784">
        <v>20</v>
      </c>
      <c r="I49" s="784">
        <v>-23.460957069999999</v>
      </c>
      <c r="J49" s="784">
        <v>25.254453170000001</v>
      </c>
      <c r="K49" s="784">
        <v>-25.148393779999999</v>
      </c>
      <c r="L49" s="787">
        <f>SUM(B49:K49)</f>
        <v>316.96962386999996</v>
      </c>
      <c r="N49" s="668"/>
      <c r="O49" s="668"/>
      <c r="P49" s="668"/>
      <c r="Q49" s="668"/>
      <c r="R49" s="668"/>
      <c r="S49" s="668"/>
      <c r="T49" s="668"/>
      <c r="U49" s="668"/>
      <c r="V49" s="668"/>
      <c r="W49" s="668"/>
      <c r="X49" s="668"/>
      <c r="Y49" s="668"/>
      <c r="Z49" s="679"/>
    </row>
    <row r="50" spans="1:26" x14ac:dyDescent="0.2">
      <c r="A50" s="785" t="s">
        <v>442</v>
      </c>
      <c r="B50" s="786">
        <f>-90.513+3.28</f>
        <v>-87.233000000000004</v>
      </c>
      <c r="C50" s="438">
        <v>114.60299999999999</v>
      </c>
      <c r="D50" s="438">
        <v>1.2270000000000001</v>
      </c>
      <c r="E50" s="438">
        <v>-29.263000000000002</v>
      </c>
      <c r="F50" s="782"/>
      <c r="G50" s="438">
        <v>167.06</v>
      </c>
      <c r="H50" s="782"/>
      <c r="I50" s="438">
        <v>-31.08</v>
      </c>
      <c r="J50" s="782"/>
      <c r="K50" s="782"/>
      <c r="L50" s="788">
        <f>SUM(B50:K50)</f>
        <v>135.31400000000002</v>
      </c>
      <c r="N50" s="668"/>
      <c r="O50" s="668"/>
      <c r="P50" s="668"/>
      <c r="Q50" s="668"/>
      <c r="R50" s="668"/>
      <c r="S50" s="668"/>
      <c r="T50" s="668"/>
      <c r="U50" s="668"/>
      <c r="V50" s="668"/>
      <c r="W50" s="668"/>
      <c r="X50" s="668"/>
      <c r="Y50" s="668"/>
      <c r="Z50" s="679"/>
    </row>
    <row r="51" spans="1:26" x14ac:dyDescent="0.2">
      <c r="A51" s="781" t="s">
        <v>520</v>
      </c>
      <c r="B51" s="783">
        <v>-111.348</v>
      </c>
      <c r="C51" s="784">
        <v>100.756</v>
      </c>
      <c r="D51" s="784">
        <v>4.26</v>
      </c>
      <c r="E51" s="784">
        <v>-48.018999999999998</v>
      </c>
      <c r="F51" s="780"/>
      <c r="G51" s="784">
        <v>202.25</v>
      </c>
      <c r="H51" s="780"/>
      <c r="I51" s="784">
        <v>-30.792000000000002</v>
      </c>
      <c r="J51" s="780"/>
      <c r="K51" s="780"/>
      <c r="L51" s="787">
        <f>SUM(B51:K51)</f>
        <v>117.107</v>
      </c>
      <c r="N51" s="668"/>
      <c r="O51" s="668"/>
      <c r="P51" s="668"/>
      <c r="Q51" s="668"/>
      <c r="R51" s="668"/>
      <c r="S51" s="668"/>
      <c r="T51" s="668"/>
      <c r="U51" s="668"/>
      <c r="V51" s="668"/>
      <c r="W51" s="668"/>
      <c r="X51" s="668"/>
      <c r="Y51" s="668"/>
      <c r="Z51" s="679"/>
    </row>
    <row r="52" spans="1:26" ht="3.75" customHeight="1" x14ac:dyDescent="0.2">
      <c r="A52" s="687"/>
      <c r="B52" s="688"/>
      <c r="C52" s="688"/>
      <c r="D52" s="688"/>
      <c r="E52" s="688"/>
      <c r="F52" s="688"/>
      <c r="G52" s="688"/>
      <c r="H52" s="688"/>
      <c r="I52" s="688"/>
      <c r="J52" s="688"/>
      <c r="K52" s="688"/>
      <c r="L52" s="688"/>
      <c r="N52" s="668"/>
      <c r="O52" s="668"/>
      <c r="P52" s="668"/>
      <c r="Q52" s="668"/>
      <c r="R52" s="668"/>
      <c r="S52" s="668"/>
      <c r="T52" s="668"/>
      <c r="U52" s="668"/>
      <c r="V52" s="668"/>
      <c r="W52" s="668"/>
      <c r="X52" s="668"/>
      <c r="Y52" s="668"/>
      <c r="Z52" s="679"/>
    </row>
    <row r="53" spans="1:26" ht="25.5" customHeight="1" x14ac:dyDescent="0.2">
      <c r="A53" s="876" t="s">
        <v>524</v>
      </c>
      <c r="B53" s="877"/>
      <c r="C53" s="877"/>
      <c r="D53" s="877"/>
      <c r="E53" s="877"/>
      <c r="F53" s="877"/>
      <c r="G53" s="877"/>
      <c r="H53" s="877"/>
      <c r="I53" s="877"/>
      <c r="J53" s="877"/>
      <c r="K53" s="877"/>
      <c r="L53" s="877"/>
      <c r="M53" s="877"/>
      <c r="N53" s="877"/>
      <c r="O53" s="877"/>
      <c r="P53" s="877"/>
      <c r="Q53" s="877"/>
      <c r="R53" s="877"/>
      <c r="S53" s="877"/>
      <c r="T53" s="877"/>
      <c r="U53" s="877"/>
      <c r="V53" s="877"/>
      <c r="W53" s="877"/>
      <c r="X53" s="877"/>
      <c r="Y53" s="877"/>
    </row>
    <row r="54" spans="1:26" ht="12.75" customHeight="1" x14ac:dyDescent="0.2">
      <c r="A54" s="689"/>
      <c r="B54" s="912" t="s">
        <v>269</v>
      </c>
      <c r="C54" s="879"/>
      <c r="D54" s="879"/>
      <c r="E54" s="879"/>
      <c r="F54" s="913"/>
      <c r="G54" s="913"/>
      <c r="H54" s="913"/>
      <c r="I54" s="913"/>
      <c r="J54" s="913"/>
      <c r="K54" s="913"/>
      <c r="L54" s="913"/>
      <c r="M54" s="913"/>
      <c r="N54" s="914"/>
      <c r="O54" s="912" t="s">
        <v>270</v>
      </c>
      <c r="P54" s="879"/>
      <c r="Q54" s="914"/>
      <c r="R54" s="690" t="s">
        <v>275</v>
      </c>
      <c r="X54" s="631"/>
      <c r="Z54" s="630"/>
    </row>
    <row r="55" spans="1:26" ht="52.5" customHeight="1" x14ac:dyDescent="0.2">
      <c r="A55" s="691" t="s">
        <v>4</v>
      </c>
      <c r="B55" s="634" t="s">
        <v>257</v>
      </c>
      <c r="C55" s="674" t="s">
        <v>258</v>
      </c>
      <c r="D55" s="674" t="s">
        <v>259</v>
      </c>
      <c r="E55" s="674" t="s">
        <v>260</v>
      </c>
      <c r="F55" s="674" t="s">
        <v>272</v>
      </c>
      <c r="G55" s="674" t="s">
        <v>256</v>
      </c>
      <c r="H55" s="674" t="s">
        <v>261</v>
      </c>
      <c r="I55" s="674" t="s">
        <v>262</v>
      </c>
      <c r="J55" s="674" t="s">
        <v>263</v>
      </c>
      <c r="K55" s="674" t="s">
        <v>273</v>
      </c>
      <c r="L55" s="674" t="s">
        <v>274</v>
      </c>
      <c r="M55" s="674" t="s">
        <v>264</v>
      </c>
      <c r="N55" s="692" t="s">
        <v>265</v>
      </c>
      <c r="O55" s="693" t="s">
        <v>267</v>
      </c>
      <c r="P55" s="674" t="s">
        <v>268</v>
      </c>
      <c r="Q55" s="692" t="s">
        <v>266</v>
      </c>
      <c r="R55" s="694" t="s">
        <v>276</v>
      </c>
      <c r="X55" s="631"/>
      <c r="Z55" s="630"/>
    </row>
    <row r="56" spans="1:26" x14ac:dyDescent="0.2">
      <c r="A56" s="695" t="s">
        <v>127</v>
      </c>
      <c r="B56" s="639">
        <v>2489.0942679999998</v>
      </c>
      <c r="C56" s="430">
        <v>0.34699999999999998</v>
      </c>
      <c r="D56" s="430">
        <f t="shared" ref="D56:D66" si="40">C38*-1</f>
        <v>-73.802000000000007</v>
      </c>
      <c r="E56" s="430"/>
      <c r="F56" s="640">
        <f t="shared" ref="F56:F67" si="41">D38*-1</f>
        <v>-5.0919999999999996</v>
      </c>
      <c r="G56" s="430">
        <v>-74.629098999999997</v>
      </c>
      <c r="H56" s="430">
        <v>-0.35076200000000002</v>
      </c>
      <c r="I56" s="640">
        <f t="shared" ref="I56:I67" si="42">G38*-1</f>
        <v>-81.477000000000004</v>
      </c>
      <c r="J56" s="430">
        <v>-394.10447299999998</v>
      </c>
      <c r="K56" s="640">
        <f t="shared" ref="K56:K63" si="43">J38*-1</f>
        <v>-102.798</v>
      </c>
      <c r="L56" s="640"/>
      <c r="M56" s="430">
        <v>-152.97842499999999</v>
      </c>
      <c r="N56" s="696">
        <f>SUM(B56:M56)</f>
        <v>1604.2095089999998</v>
      </c>
      <c r="O56" s="458">
        <v>373.21336200000002</v>
      </c>
      <c r="P56" s="430">
        <v>-94.056938000000002</v>
      </c>
      <c r="Q56" s="696">
        <f>O56+P56</f>
        <v>279.15642400000002</v>
      </c>
      <c r="R56" s="678">
        <f>N56+Q56</f>
        <v>1883.3659329999998</v>
      </c>
      <c r="U56" s="697"/>
      <c r="V56" s="698"/>
      <c r="Y56" s="631"/>
      <c r="Z56" s="630"/>
    </row>
    <row r="57" spans="1:26" x14ac:dyDescent="0.2">
      <c r="A57" s="301" t="s">
        <v>128</v>
      </c>
      <c r="B57" s="645">
        <v>2511.1173829999998</v>
      </c>
      <c r="C57" s="433">
        <v>0.123</v>
      </c>
      <c r="D57" s="433">
        <f t="shared" si="40"/>
        <v>-64.387</v>
      </c>
      <c r="E57" s="433"/>
      <c r="F57" s="454">
        <f t="shared" si="41"/>
        <v>-21.715</v>
      </c>
      <c r="G57" s="433">
        <v>-77.920834999999997</v>
      </c>
      <c r="H57" s="433">
        <v>-3.1413129999999998</v>
      </c>
      <c r="I57" s="454">
        <f t="shared" si="42"/>
        <v>-72.314999999999998</v>
      </c>
      <c r="J57" s="433">
        <v>-424.64742000000001</v>
      </c>
      <c r="K57" s="454">
        <f t="shared" si="43"/>
        <v>-64.435000000000002</v>
      </c>
      <c r="L57" s="454"/>
      <c r="M57" s="433">
        <v>-153.45814999999999</v>
      </c>
      <c r="N57" s="699">
        <f t="shared" ref="N57:N63" si="44">SUM(B57:M57)</f>
        <v>1629.2206649999996</v>
      </c>
      <c r="O57" s="435">
        <v>378.942048</v>
      </c>
      <c r="P57" s="433">
        <v>-114.743596</v>
      </c>
      <c r="Q57" s="699">
        <f>O57+P57</f>
        <v>264.19845199999997</v>
      </c>
      <c r="R57" s="680">
        <f t="shared" ref="R57:R64" si="45">N57+Q57</f>
        <v>1893.4191169999995</v>
      </c>
      <c r="U57" s="697"/>
      <c r="V57" s="698"/>
      <c r="Y57" s="631"/>
      <c r="Z57" s="630"/>
    </row>
    <row r="58" spans="1:26" x14ac:dyDescent="0.2">
      <c r="A58" s="301" t="s">
        <v>129</v>
      </c>
      <c r="B58" s="645">
        <v>2639.2050049999998</v>
      </c>
      <c r="C58" s="433">
        <v>-2.0285000000000002</v>
      </c>
      <c r="D58" s="433">
        <f t="shared" si="40"/>
        <v>-82.218999999999994</v>
      </c>
      <c r="E58" s="433"/>
      <c r="F58" s="433">
        <f t="shared" si="41"/>
        <v>-5.4349999999999996</v>
      </c>
      <c r="G58" s="433">
        <v>-78.578926999999993</v>
      </c>
      <c r="H58" s="433">
        <v>0.71900600000000003</v>
      </c>
      <c r="I58" s="433">
        <f t="shared" si="42"/>
        <v>-85.994</v>
      </c>
      <c r="J58" s="433">
        <v>-430.993833</v>
      </c>
      <c r="K58" s="433">
        <f t="shared" si="43"/>
        <v>-92.346000000000004</v>
      </c>
      <c r="L58" s="433">
        <f>H40*-1</f>
        <v>-80</v>
      </c>
      <c r="M58" s="433">
        <v>-153.86630500000001</v>
      </c>
      <c r="N58" s="699">
        <f t="shared" si="44"/>
        <v>1628.4624459999995</v>
      </c>
      <c r="O58" s="435">
        <v>415.72009100000002</v>
      </c>
      <c r="P58" s="433">
        <v>-121.05976699999999</v>
      </c>
      <c r="Q58" s="699">
        <f t="shared" ref="Q58:Q69" si="46">O58+P58</f>
        <v>294.66032400000006</v>
      </c>
      <c r="R58" s="680">
        <f t="shared" si="45"/>
        <v>1923.1227699999995</v>
      </c>
      <c r="U58" s="697"/>
      <c r="V58" s="697"/>
      <c r="Y58" s="631"/>
      <c r="Z58" s="630"/>
    </row>
    <row r="59" spans="1:26" x14ac:dyDescent="0.2">
      <c r="A59" s="700" t="s">
        <v>130</v>
      </c>
      <c r="B59" s="648">
        <v>2445.1795929999998</v>
      </c>
      <c r="C59" s="653">
        <v>-1.3875</v>
      </c>
      <c r="D59" s="653">
        <f t="shared" si="40"/>
        <v>-71.468000000000004</v>
      </c>
      <c r="E59" s="653"/>
      <c r="F59" s="653">
        <f t="shared" si="41"/>
        <v>-2.3620000000000001</v>
      </c>
      <c r="G59" s="653">
        <v>-9.3277070000000002</v>
      </c>
      <c r="H59" s="653">
        <v>-0.18221300000000001</v>
      </c>
      <c r="I59" s="653">
        <f t="shared" si="42"/>
        <v>-117.55200000000001</v>
      </c>
      <c r="J59" s="653">
        <v>-350.83417600000001</v>
      </c>
      <c r="K59" s="653">
        <f t="shared" si="43"/>
        <v>-91.486999999999995</v>
      </c>
      <c r="L59" s="653"/>
      <c r="M59" s="653">
        <v>-185.640165</v>
      </c>
      <c r="N59" s="701">
        <f t="shared" si="44"/>
        <v>1614.9388319999998</v>
      </c>
      <c r="O59" s="652">
        <v>355.89042000000001</v>
      </c>
      <c r="P59" s="653">
        <v>-25.424285999999999</v>
      </c>
      <c r="Q59" s="701">
        <f t="shared" si="46"/>
        <v>330.46613400000001</v>
      </c>
      <c r="R59" s="681">
        <f t="shared" si="45"/>
        <v>1945.4049659999998</v>
      </c>
      <c r="U59" s="697"/>
      <c r="V59" s="697"/>
      <c r="Y59" s="631"/>
      <c r="Z59" s="630"/>
    </row>
    <row r="60" spans="1:26" x14ac:dyDescent="0.2">
      <c r="A60" s="207" t="s">
        <v>131</v>
      </c>
      <c r="B60" s="656">
        <v>2391.066139</v>
      </c>
      <c r="C60" s="449">
        <v>0.84499999999999997</v>
      </c>
      <c r="D60" s="449">
        <f t="shared" si="40"/>
        <v>-79.247</v>
      </c>
      <c r="E60" s="449"/>
      <c r="F60" s="449">
        <f t="shared" si="41"/>
        <v>-2.1240000000000001</v>
      </c>
      <c r="G60" s="449">
        <v>-0.45317200000000002</v>
      </c>
      <c r="H60" s="449">
        <v>7.973992</v>
      </c>
      <c r="I60" s="449">
        <f t="shared" si="42"/>
        <v>-113.9</v>
      </c>
      <c r="J60" s="449">
        <v>-360.91478899999998</v>
      </c>
      <c r="K60" s="449">
        <f t="shared" si="43"/>
        <v>-0.28999999999999998</v>
      </c>
      <c r="L60" s="449"/>
      <c r="M60" s="449">
        <v>-203.19072499999999</v>
      </c>
      <c r="N60" s="702">
        <f t="shared" si="44"/>
        <v>1639.7654450000005</v>
      </c>
      <c r="O60" s="450">
        <v>368.09407299999998</v>
      </c>
      <c r="P60" s="449">
        <v>-22.478652</v>
      </c>
      <c r="Q60" s="702">
        <f t="shared" si="46"/>
        <v>345.61542099999997</v>
      </c>
      <c r="R60" s="682">
        <f t="shared" si="45"/>
        <v>1985.3808660000004</v>
      </c>
      <c r="U60" s="697"/>
      <c r="V60" s="697"/>
      <c r="Y60" s="631"/>
      <c r="Z60" s="630"/>
    </row>
    <row r="61" spans="1:26" x14ac:dyDescent="0.2">
      <c r="A61" s="301" t="s">
        <v>132</v>
      </c>
      <c r="B61" s="645">
        <v>2512.3739820000001</v>
      </c>
      <c r="C61" s="433">
        <v>0.88100000000000001</v>
      </c>
      <c r="D61" s="454">
        <f t="shared" si="40"/>
        <v>-71.626999999999995</v>
      </c>
      <c r="E61" s="433"/>
      <c r="F61" s="454">
        <f t="shared" si="41"/>
        <v>-2.0394369999999999</v>
      </c>
      <c r="G61" s="433">
        <v>0.103687</v>
      </c>
      <c r="H61" s="433">
        <v>-5.5E-2</v>
      </c>
      <c r="I61" s="433">
        <f t="shared" si="42"/>
        <v>-116.438</v>
      </c>
      <c r="J61" s="433">
        <v>-364.75270499999999</v>
      </c>
      <c r="K61" s="433">
        <f t="shared" si="43"/>
        <v>-44.579000000000001</v>
      </c>
      <c r="L61" s="433">
        <f>H43*-1</f>
        <v>-90</v>
      </c>
      <c r="M61" s="433">
        <v>-187.70606799999999</v>
      </c>
      <c r="N61" s="699">
        <f t="shared" si="44"/>
        <v>1636.1614590000001</v>
      </c>
      <c r="O61" s="435">
        <v>384.72850299999999</v>
      </c>
      <c r="P61" s="433">
        <v>-23.905677000000001</v>
      </c>
      <c r="Q61" s="699">
        <f t="shared" si="46"/>
        <v>360.82282599999996</v>
      </c>
      <c r="R61" s="680">
        <f t="shared" si="45"/>
        <v>1996.984285</v>
      </c>
      <c r="U61" s="697"/>
      <c r="V61" s="698"/>
      <c r="Y61" s="631"/>
      <c r="Z61" s="630"/>
    </row>
    <row r="62" spans="1:26" s="672" customFormat="1" x14ac:dyDescent="0.2">
      <c r="A62" s="301" t="s">
        <v>133</v>
      </c>
      <c r="B62" s="435">
        <v>2456.7899849999999</v>
      </c>
      <c r="C62" s="433">
        <v>-2.25</v>
      </c>
      <c r="D62" s="433">
        <f t="shared" si="40"/>
        <v>-69.099000000000004</v>
      </c>
      <c r="E62" s="433">
        <v>-3.1134550000000001</v>
      </c>
      <c r="F62" s="433">
        <f t="shared" si="41"/>
        <v>-8.5120000000000005</v>
      </c>
      <c r="G62" s="433">
        <v>-0.49172199999999999</v>
      </c>
      <c r="H62" s="433"/>
      <c r="I62" s="433">
        <f t="shared" si="42"/>
        <v>-113.786</v>
      </c>
      <c r="J62" s="433">
        <v>-356.866376</v>
      </c>
      <c r="K62" s="433">
        <f t="shared" si="43"/>
        <v>-80.444000000000003</v>
      </c>
      <c r="L62" s="433"/>
      <c r="M62" s="433">
        <v>-177.018404</v>
      </c>
      <c r="N62" s="699">
        <f t="shared" si="44"/>
        <v>1645.2090279999993</v>
      </c>
      <c r="O62" s="435">
        <v>381.15840800000001</v>
      </c>
      <c r="P62" s="433">
        <v>-19.886614999999999</v>
      </c>
      <c r="Q62" s="699">
        <f t="shared" si="46"/>
        <v>361.271793</v>
      </c>
      <c r="R62" s="680">
        <f t="shared" si="45"/>
        <v>2006.4808209999992</v>
      </c>
      <c r="U62" s="679"/>
      <c r="V62" s="703"/>
      <c r="Y62" s="704"/>
    </row>
    <row r="63" spans="1:26" x14ac:dyDescent="0.2">
      <c r="A63" s="700" t="s">
        <v>134</v>
      </c>
      <c r="B63" s="648">
        <v>2543.7549960000001</v>
      </c>
      <c r="C63" s="653">
        <v>-15.693</v>
      </c>
      <c r="D63" s="649">
        <f t="shared" si="40"/>
        <v>-77.624646999999996</v>
      </c>
      <c r="E63" s="653">
        <v>-5.5036389999999997</v>
      </c>
      <c r="F63" s="653">
        <f t="shared" si="41"/>
        <v>-7.3837799999999998</v>
      </c>
      <c r="G63" s="653">
        <v>-0.115467</v>
      </c>
      <c r="H63" s="653">
        <v>-4.1299679999999999</v>
      </c>
      <c r="I63" s="653">
        <f t="shared" si="42"/>
        <v>-110.651741</v>
      </c>
      <c r="J63" s="653">
        <v>-369.67685999999998</v>
      </c>
      <c r="K63" s="653">
        <f t="shared" si="43"/>
        <v>-0.12983700000000001</v>
      </c>
      <c r="L63" s="653">
        <f>H45*-1</f>
        <v>-40</v>
      </c>
      <c r="M63" s="653">
        <v>-185.825164</v>
      </c>
      <c r="N63" s="701">
        <f t="shared" si="44"/>
        <v>1727.0208929999992</v>
      </c>
      <c r="O63" s="652">
        <v>339.44033300000001</v>
      </c>
      <c r="P63" s="653">
        <v>-21.509755999999999</v>
      </c>
      <c r="Q63" s="701">
        <f t="shared" si="46"/>
        <v>317.93057700000003</v>
      </c>
      <c r="R63" s="681">
        <f t="shared" si="45"/>
        <v>2044.9514699999993</v>
      </c>
      <c r="U63" s="697"/>
      <c r="V63" s="703"/>
      <c r="Y63" s="631"/>
      <c r="Z63" s="630"/>
    </row>
    <row r="64" spans="1:26" x14ac:dyDescent="0.2">
      <c r="A64" s="207" t="s">
        <v>399</v>
      </c>
      <c r="B64" s="450">
        <v>2780.2687089999999</v>
      </c>
      <c r="C64" s="449">
        <v>18.524999999999999</v>
      </c>
      <c r="D64" s="449">
        <f t="shared" si="40"/>
        <v>-77.951887999999997</v>
      </c>
      <c r="E64" s="449">
        <v>-4.0284469999999999</v>
      </c>
      <c r="F64" s="449">
        <f t="shared" si="41"/>
        <v>-4.8252629999999996</v>
      </c>
      <c r="G64" s="449">
        <v>0.18679799999999999</v>
      </c>
      <c r="H64" s="449">
        <v>9.1851000000000002E-2</v>
      </c>
      <c r="I64" s="449">
        <f t="shared" si="42"/>
        <v>-109.992091</v>
      </c>
      <c r="J64" s="449">
        <v>-378.56676700000003</v>
      </c>
      <c r="K64" s="449"/>
      <c r="L64" s="449">
        <f>H46*-1</f>
        <v>-67</v>
      </c>
      <c r="M64" s="449">
        <v>-186.915763</v>
      </c>
      <c r="N64" s="702">
        <f>SUM(B64:M64)</f>
        <v>1969.7921390000001</v>
      </c>
      <c r="O64" s="450">
        <v>322.73647199999999</v>
      </c>
      <c r="P64" s="449">
        <v>-20.217624000000001</v>
      </c>
      <c r="Q64" s="702">
        <f t="shared" si="46"/>
        <v>302.51884799999999</v>
      </c>
      <c r="R64" s="682">
        <f t="shared" si="45"/>
        <v>2272.3109870000003</v>
      </c>
      <c r="U64" s="697"/>
      <c r="V64" s="697"/>
      <c r="Y64" s="631"/>
      <c r="Z64" s="630"/>
    </row>
    <row r="65" spans="1:26" s="672" customFormat="1" x14ac:dyDescent="0.2">
      <c r="A65" s="301" t="s">
        <v>429</v>
      </c>
      <c r="B65" s="435">
        <v>2594.0394634999998</v>
      </c>
      <c r="C65" s="433">
        <v>-0.94799999999999995</v>
      </c>
      <c r="D65" s="433">
        <f t="shared" si="40"/>
        <v>-87.546640920000002</v>
      </c>
      <c r="E65" s="433">
        <v>-25.679371459999999</v>
      </c>
      <c r="F65" s="433">
        <f t="shared" si="41"/>
        <v>-2.68181783</v>
      </c>
      <c r="G65" s="433">
        <v>-1.9415169999999999</v>
      </c>
      <c r="H65" s="433">
        <v>1.62485268</v>
      </c>
      <c r="I65" s="433">
        <f t="shared" si="42"/>
        <v>-116.15624212</v>
      </c>
      <c r="J65" s="433">
        <v>-370.41933344</v>
      </c>
      <c r="K65" s="433">
        <f>J47*-1</f>
        <v>-19.712</v>
      </c>
      <c r="L65" s="433">
        <f>H47*-1</f>
        <v>-60</v>
      </c>
      <c r="M65" s="433">
        <v>-178.11545203</v>
      </c>
      <c r="N65" s="699">
        <f t="shared" ref="N65" si="47">SUM(B65:M65)</f>
        <v>1732.4639413800001</v>
      </c>
      <c r="O65" s="435">
        <v>338.41760843999998</v>
      </c>
      <c r="P65" s="433">
        <v>-18.032165509999999</v>
      </c>
      <c r="Q65" s="699">
        <f t="shared" si="46"/>
        <v>320.38544292999995</v>
      </c>
      <c r="R65" s="680">
        <f>N65+Q65</f>
        <v>2052.84938431</v>
      </c>
      <c r="U65" s="679"/>
      <c r="V65" s="703"/>
      <c r="Y65" s="704"/>
    </row>
    <row r="66" spans="1:26" x14ac:dyDescent="0.2">
      <c r="A66" s="301" t="s">
        <v>443</v>
      </c>
      <c r="B66" s="435">
        <v>2616.2485664000001</v>
      </c>
      <c r="C66" s="433">
        <v>-2.246</v>
      </c>
      <c r="D66" s="433">
        <f t="shared" si="40"/>
        <v>-88.384671969999999</v>
      </c>
      <c r="E66" s="433">
        <v>-0.59102319999999997</v>
      </c>
      <c r="F66" s="433">
        <f t="shared" si="41"/>
        <v>-4.3747330699999996</v>
      </c>
      <c r="G66" s="433">
        <v>1.4416E-2</v>
      </c>
      <c r="H66" s="433">
        <v>0.45117499999999999</v>
      </c>
      <c r="I66" s="433">
        <f t="shared" si="42"/>
        <v>-134.63849524</v>
      </c>
      <c r="J66" s="433">
        <v>-386.52083372999999</v>
      </c>
      <c r="K66" s="433">
        <v>-2.4441540000000002</v>
      </c>
      <c r="L66" s="433"/>
      <c r="M66" s="433">
        <v>-176.95531606</v>
      </c>
      <c r="N66" s="699">
        <f t="shared" ref="N66" si="48">SUM(B66:M66)</f>
        <v>1820.5589301300001</v>
      </c>
      <c r="O66" s="435">
        <v>389.80268125999999</v>
      </c>
      <c r="P66" s="433">
        <v>-19.982207559999999</v>
      </c>
      <c r="Q66" s="699">
        <f t="shared" ref="Q66" si="49">O66+P66</f>
        <v>369.82047369999998</v>
      </c>
      <c r="R66" s="680">
        <f t="shared" ref="R66" si="50">N66+Q66</f>
        <v>2190.3794038300002</v>
      </c>
      <c r="U66" s="697"/>
      <c r="V66" s="697"/>
      <c r="Y66" s="631"/>
      <c r="Z66" s="630"/>
    </row>
    <row r="67" spans="1:26" x14ac:dyDescent="0.2">
      <c r="A67" s="300" t="s">
        <v>428</v>
      </c>
      <c r="B67" s="789">
        <v>2822.3466250000001</v>
      </c>
      <c r="C67" s="790">
        <v>-3.1530999999999998</v>
      </c>
      <c r="D67" s="790">
        <f t="shared" ref="D67" si="51">C49*-1</f>
        <v>-91.511599129999993</v>
      </c>
      <c r="E67" s="790">
        <v>-0.47304491999999998</v>
      </c>
      <c r="F67" s="790">
        <f t="shared" si="41"/>
        <v>-2.9634550200000001</v>
      </c>
      <c r="G67" s="790">
        <v>1.0113491999999999</v>
      </c>
      <c r="H67" s="790">
        <v>0.56793397999999995</v>
      </c>
      <c r="I67" s="790">
        <f t="shared" si="42"/>
        <v>-147.56825798</v>
      </c>
      <c r="J67" s="793">
        <v>-399.08537632000002</v>
      </c>
      <c r="K67" s="790">
        <v>-25.254453170000001</v>
      </c>
      <c r="L67" s="790">
        <v>-20</v>
      </c>
      <c r="M67" s="790">
        <v>-197.94790924</v>
      </c>
      <c r="N67" s="791">
        <f>SUM(B67:M67)</f>
        <v>1935.9687124000004</v>
      </c>
      <c r="O67" s="789">
        <v>420.27150481000001</v>
      </c>
      <c r="P67" s="790">
        <v>-17.56194983</v>
      </c>
      <c r="Q67" s="791">
        <f>O67+P67</f>
        <v>402.70955498000001</v>
      </c>
      <c r="R67" s="686">
        <f>N67+Q67</f>
        <v>2338.6782673800003</v>
      </c>
      <c r="T67" s="792"/>
      <c r="U67" s="697"/>
      <c r="V67" s="697"/>
      <c r="Y67" s="631"/>
      <c r="Z67" s="630"/>
    </row>
    <row r="68" spans="1:26" x14ac:dyDescent="0.2">
      <c r="A68" s="300" t="s">
        <v>442</v>
      </c>
      <c r="B68" s="783">
        <f>2980.279-3.28</f>
        <v>2976.9989999999998</v>
      </c>
      <c r="C68" s="780"/>
      <c r="D68" s="784">
        <f>C50*-1</f>
        <v>-114.60299999999999</v>
      </c>
      <c r="E68" s="780"/>
      <c r="F68" s="784">
        <f t="shared" ref="F68" si="52">D50*-1</f>
        <v>-1.2270000000000001</v>
      </c>
      <c r="G68" s="780"/>
      <c r="H68" s="780"/>
      <c r="I68" s="784">
        <f t="shared" ref="I68" si="53">G50*-1</f>
        <v>-167.06</v>
      </c>
      <c r="J68" s="784">
        <v>-419.87</v>
      </c>
      <c r="K68" s="780"/>
      <c r="L68" s="780"/>
      <c r="M68" s="784">
        <v>-206.87</v>
      </c>
      <c r="N68" s="794">
        <f>SUM(B68:M68)</f>
        <v>2067.3690000000001</v>
      </c>
      <c r="O68" s="783">
        <v>525.44600000000003</v>
      </c>
      <c r="P68" s="784">
        <v>-24.888000000000002</v>
      </c>
      <c r="Q68" s="794">
        <f>O68+P68</f>
        <v>500.55800000000005</v>
      </c>
      <c r="R68" s="787">
        <f>N68+Q68</f>
        <v>2567.9270000000001</v>
      </c>
      <c r="U68" s="697"/>
      <c r="V68" s="697"/>
      <c r="Y68" s="631"/>
      <c r="Z68" s="630"/>
    </row>
    <row r="69" spans="1:26" x14ac:dyDescent="0.2">
      <c r="A69" s="300" t="s">
        <v>520</v>
      </c>
      <c r="B69" s="783">
        <v>3068.6950000000002</v>
      </c>
      <c r="C69" s="780"/>
      <c r="D69" s="784">
        <f t="shared" ref="D69" si="54">C51*-1</f>
        <v>-100.756</v>
      </c>
      <c r="E69" s="780"/>
      <c r="F69" s="784">
        <f t="shared" ref="F69" si="55">D51*-1</f>
        <v>-4.26</v>
      </c>
      <c r="G69" s="780"/>
      <c r="H69" s="780"/>
      <c r="I69" s="784">
        <f t="shared" ref="I69" si="56">G51*-1</f>
        <v>-202.25</v>
      </c>
      <c r="J69" s="784">
        <v>-418.15800000000002</v>
      </c>
      <c r="K69" s="780"/>
      <c r="L69" s="780"/>
      <c r="M69" s="784">
        <v>-222.11799999999999</v>
      </c>
      <c r="N69" s="794">
        <f>SUM(B69:M69)</f>
        <v>2121.1530000000002</v>
      </c>
      <c r="O69" s="783">
        <v>542.58100000000002</v>
      </c>
      <c r="P69" s="784">
        <v>-26.927</v>
      </c>
      <c r="Q69" s="794">
        <f t="shared" si="46"/>
        <v>515.654</v>
      </c>
      <c r="R69" s="787">
        <f>N69+Q69</f>
        <v>2636.8070000000002</v>
      </c>
      <c r="U69" s="697"/>
      <c r="V69" s="697"/>
      <c r="Y69" s="631"/>
      <c r="Z69" s="630"/>
    </row>
    <row r="70" spans="1:26" x14ac:dyDescent="0.2">
      <c r="Y70" s="631"/>
      <c r="Z70" s="630"/>
    </row>
  </sheetData>
  <mergeCells count="69">
    <mergeCell ref="A22:Q22"/>
    <mergeCell ref="R4:V4"/>
    <mergeCell ref="R24:V24"/>
    <mergeCell ref="R26:V26"/>
    <mergeCell ref="R27:V27"/>
    <mergeCell ref="B27:E27"/>
    <mergeCell ref="N24:Q24"/>
    <mergeCell ref="B54:N54"/>
    <mergeCell ref="O54:Q54"/>
    <mergeCell ref="B36:L36"/>
    <mergeCell ref="A24:A33"/>
    <mergeCell ref="N29:Q29"/>
    <mergeCell ref="B26:E26"/>
    <mergeCell ref="F26:H26"/>
    <mergeCell ref="I26:M26"/>
    <mergeCell ref="N26:Q26"/>
    <mergeCell ref="B30:E30"/>
    <mergeCell ref="F30:H30"/>
    <mergeCell ref="B28:E28"/>
    <mergeCell ref="F28:H28"/>
    <mergeCell ref="I28:M28"/>
    <mergeCell ref="N28:Q28"/>
    <mergeCell ref="W33:Y33"/>
    <mergeCell ref="B33:H33"/>
    <mergeCell ref="B32:H32"/>
    <mergeCell ref="I33:M33"/>
    <mergeCell ref="N33:Q33"/>
    <mergeCell ref="I32:M32"/>
    <mergeCell ref="N32:Q32"/>
    <mergeCell ref="W32:Y32"/>
    <mergeCell ref="R32:V32"/>
    <mergeCell ref="R33:V33"/>
    <mergeCell ref="R31:V31"/>
    <mergeCell ref="F27:H27"/>
    <mergeCell ref="I27:M27"/>
    <mergeCell ref="N27:Q27"/>
    <mergeCell ref="B31:E31"/>
    <mergeCell ref="F31:H31"/>
    <mergeCell ref="I31:M31"/>
    <mergeCell ref="N31:Q31"/>
    <mergeCell ref="B29:E29"/>
    <mergeCell ref="F29:H29"/>
    <mergeCell ref="I29:M29"/>
    <mergeCell ref="I30:M30"/>
    <mergeCell ref="N30:Q30"/>
    <mergeCell ref="R29:V29"/>
    <mergeCell ref="R30:V30"/>
    <mergeCell ref="R28:V28"/>
    <mergeCell ref="W30:Y30"/>
    <mergeCell ref="W26:Y26"/>
    <mergeCell ref="W27:Y27"/>
    <mergeCell ref="W28:Y28"/>
    <mergeCell ref="W29:Y29"/>
    <mergeCell ref="A53:Y53"/>
    <mergeCell ref="B4:E4"/>
    <mergeCell ref="W4:Y4"/>
    <mergeCell ref="F4:H4"/>
    <mergeCell ref="I4:M4"/>
    <mergeCell ref="N4:Q4"/>
    <mergeCell ref="W24:Y24"/>
    <mergeCell ref="B25:E25"/>
    <mergeCell ref="F25:H25"/>
    <mergeCell ref="I25:M25"/>
    <mergeCell ref="N25:Q25"/>
    <mergeCell ref="W25:Y25"/>
    <mergeCell ref="B24:E24"/>
    <mergeCell ref="F24:H24"/>
    <mergeCell ref="W31:Y31"/>
    <mergeCell ref="I24:M24"/>
  </mergeCells>
  <pageMargins left="0.19685039370078741" right="0.19685039370078741" top="0.19685039370078741" bottom="0.39370078740157483" header="0.31496062992125984" footer="0.19685039370078741"/>
  <pageSetup paperSize="8" scale="68" orientation="landscape" r:id="rId1"/>
  <headerFooter>
    <oddFooter>&amp;L&amp;"Arial Narrow,Standard"DFG, 5. Dezember 2024</oddFooter>
  </headerFooter>
  <ignoredErrors>
    <ignoredError sqref="Q12:Q1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I65"/>
  <sheetViews>
    <sheetView showGridLines="0" view="pageBreakPreview" zoomScale="145" zoomScaleNormal="150" zoomScaleSheetLayoutView="145" workbookViewId="0">
      <pane xSplit="1" ySplit="3" topLeftCell="B38" activePane="bottomRight" state="frozen"/>
      <selection activeCell="H33" sqref="H33"/>
      <selection pane="topRight" activeCell="H33" sqref="H33"/>
      <selection pane="bottomLeft" activeCell="H33" sqref="H33"/>
      <selection pane="bottomRight" activeCell="C56" sqref="C56:AG56"/>
    </sheetView>
  </sheetViews>
  <sheetFormatPr baseColWidth="10" defaultColWidth="11.42578125" defaultRowHeight="12.75" x14ac:dyDescent="0.2"/>
  <cols>
    <col min="1" max="1" width="65.140625" style="2" customWidth="1"/>
    <col min="2" max="33" width="5.5703125" style="146" customWidth="1"/>
    <col min="34" max="16384" width="11.42578125" style="2"/>
  </cols>
  <sheetData>
    <row r="1" spans="1:35" ht="15.75" x14ac:dyDescent="0.25">
      <c r="A1" s="1" t="s">
        <v>477</v>
      </c>
    </row>
    <row r="2" spans="1:35" s="5" customFormat="1" ht="21.75" customHeight="1" x14ac:dyDescent="0.2">
      <c r="A2" s="234" t="s">
        <v>352</v>
      </c>
      <c r="B2" s="147" t="s">
        <v>151</v>
      </c>
      <c r="C2" s="148" t="s">
        <v>152</v>
      </c>
      <c r="D2" s="148" t="s">
        <v>153</v>
      </c>
      <c r="E2" s="149" t="s">
        <v>154</v>
      </c>
      <c r="F2" s="147" t="s">
        <v>155</v>
      </c>
      <c r="G2" s="148" t="s">
        <v>156</v>
      </c>
      <c r="H2" s="148" t="s">
        <v>157</v>
      </c>
      <c r="I2" s="149" t="s">
        <v>158</v>
      </c>
      <c r="J2" s="147" t="s">
        <v>159</v>
      </c>
      <c r="K2" s="148" t="s">
        <v>160</v>
      </c>
      <c r="L2" s="148" t="s">
        <v>161</v>
      </c>
      <c r="M2" s="149" t="s">
        <v>162</v>
      </c>
      <c r="N2" s="147" t="s">
        <v>163</v>
      </c>
      <c r="O2" s="148" t="s">
        <v>164</v>
      </c>
      <c r="P2" s="148" t="s">
        <v>165</v>
      </c>
      <c r="Q2" s="149" t="s">
        <v>166</v>
      </c>
      <c r="R2" s="147" t="s">
        <v>167</v>
      </c>
      <c r="S2" s="148" t="s">
        <v>168</v>
      </c>
      <c r="T2" s="148" t="s">
        <v>169</v>
      </c>
      <c r="U2" s="149" t="s">
        <v>170</v>
      </c>
      <c r="V2" s="147" t="s">
        <v>171</v>
      </c>
      <c r="W2" s="148" t="s">
        <v>172</v>
      </c>
      <c r="X2" s="148" t="s">
        <v>173</v>
      </c>
      <c r="Y2" s="149" t="s">
        <v>174</v>
      </c>
      <c r="Z2" s="196" t="s">
        <v>175</v>
      </c>
      <c r="AA2" s="196" t="s">
        <v>396</v>
      </c>
      <c r="AB2" s="196" t="s">
        <v>415</v>
      </c>
      <c r="AC2" s="292" t="s">
        <v>425</v>
      </c>
      <c r="AD2" s="731" t="s">
        <v>471</v>
      </c>
      <c r="AE2" s="712" t="s">
        <v>472</v>
      </c>
      <c r="AF2" s="196" t="s">
        <v>473</v>
      </c>
      <c r="AG2" s="292" t="s">
        <v>474</v>
      </c>
    </row>
    <row r="3" spans="1:35" s="5" customFormat="1" ht="21.75" customHeight="1" x14ac:dyDescent="0.2">
      <c r="A3" s="150"/>
      <c r="B3" s="966" t="s">
        <v>176</v>
      </c>
      <c r="C3" s="967"/>
      <c r="D3" s="967"/>
      <c r="E3" s="968"/>
      <c r="F3" s="966" t="s">
        <v>176</v>
      </c>
      <c r="G3" s="967"/>
      <c r="H3" s="967"/>
      <c r="I3" s="968"/>
      <c r="J3" s="966" t="s">
        <v>176</v>
      </c>
      <c r="K3" s="967"/>
      <c r="L3" s="967"/>
      <c r="M3" s="968"/>
      <c r="N3" s="966" t="s">
        <v>177</v>
      </c>
      <c r="O3" s="967"/>
      <c r="P3" s="967"/>
      <c r="Q3" s="968"/>
      <c r="R3" s="966" t="s">
        <v>178</v>
      </c>
      <c r="S3" s="967"/>
      <c r="T3" s="967"/>
      <c r="U3" s="968"/>
      <c r="V3" s="966" t="s">
        <v>178</v>
      </c>
      <c r="W3" s="967"/>
      <c r="X3" s="967"/>
      <c r="Y3" s="968"/>
      <c r="Z3" s="935" t="s">
        <v>248</v>
      </c>
      <c r="AA3" s="936"/>
      <c r="AB3" s="936"/>
      <c r="AC3" s="937"/>
      <c r="AD3" s="927" t="s">
        <v>475</v>
      </c>
      <c r="AE3" s="928"/>
      <c r="AF3" s="928"/>
      <c r="AG3" s="929"/>
    </row>
    <row r="4" spans="1:35" s="155" customFormat="1" ht="16.7" customHeight="1" x14ac:dyDescent="0.2">
      <c r="A4" s="151" t="s">
        <v>179</v>
      </c>
      <c r="B4" s="152">
        <v>278757</v>
      </c>
      <c r="C4" s="153">
        <v>282229</v>
      </c>
      <c r="D4" s="153">
        <v>281970</v>
      </c>
      <c r="E4" s="154">
        <v>281440</v>
      </c>
      <c r="F4" s="152">
        <v>289015</v>
      </c>
      <c r="G4" s="153">
        <v>264886</v>
      </c>
      <c r="H4" s="153">
        <v>260622</v>
      </c>
      <c r="I4" s="154">
        <v>258718</v>
      </c>
      <c r="J4" s="152">
        <v>268360</v>
      </c>
      <c r="K4" s="153">
        <v>244814</v>
      </c>
      <c r="L4" s="153">
        <v>251926</v>
      </c>
      <c r="M4" s="154">
        <v>266628</v>
      </c>
      <c r="N4" s="152">
        <v>278578</v>
      </c>
      <c r="O4" s="153">
        <v>284035</v>
      </c>
      <c r="P4" s="153">
        <v>289897</v>
      </c>
      <c r="Q4" s="154">
        <v>292836</v>
      </c>
      <c r="R4" s="152">
        <v>291349</v>
      </c>
      <c r="S4" s="153">
        <v>291612</v>
      </c>
      <c r="T4" s="153">
        <v>295317</v>
      </c>
      <c r="U4" s="154">
        <v>299186</v>
      </c>
      <c r="V4" s="152">
        <v>309387</v>
      </c>
      <c r="W4" s="153">
        <v>312790</v>
      </c>
      <c r="X4" s="153">
        <v>319072</v>
      </c>
      <c r="Y4" s="154">
        <v>324817</v>
      </c>
      <c r="Z4" s="197">
        <v>330453</v>
      </c>
      <c r="AA4" s="197">
        <v>336914</v>
      </c>
      <c r="AB4" s="197">
        <f>353186+700</f>
        <v>353886</v>
      </c>
      <c r="AC4" s="293">
        <f>367102-2270</f>
        <v>364832</v>
      </c>
      <c r="AD4" s="197">
        <f>380976-2750</f>
        <v>378226</v>
      </c>
      <c r="AE4" s="713">
        <v>379648</v>
      </c>
      <c r="AF4" s="197"/>
      <c r="AG4" s="293"/>
    </row>
    <row r="5" spans="1:35" s="160" customFormat="1" ht="16.7" customHeight="1" x14ac:dyDescent="0.2">
      <c r="A5" s="156" t="s">
        <v>180</v>
      </c>
      <c r="B5" s="157" t="s">
        <v>181</v>
      </c>
      <c r="C5" s="158" t="s">
        <v>181</v>
      </c>
      <c r="D5" s="158" t="s">
        <v>181</v>
      </c>
      <c r="E5" s="159" t="s">
        <v>181</v>
      </c>
      <c r="F5" s="157" t="s">
        <v>181</v>
      </c>
      <c r="G5" s="158" t="s">
        <v>181</v>
      </c>
      <c r="H5" s="158" t="s">
        <v>181</v>
      </c>
      <c r="I5" s="159" t="s">
        <v>181</v>
      </c>
      <c r="J5" s="157" t="s">
        <v>181</v>
      </c>
      <c r="K5" s="158" t="s">
        <v>181</v>
      </c>
      <c r="L5" s="158" t="s">
        <v>181</v>
      </c>
      <c r="M5" s="159" t="s">
        <v>181</v>
      </c>
      <c r="N5" s="157" t="s">
        <v>181</v>
      </c>
      <c r="O5" s="158" t="s">
        <v>181</v>
      </c>
      <c r="P5" s="158" t="s">
        <v>181</v>
      </c>
      <c r="Q5" s="159" t="s">
        <v>181</v>
      </c>
      <c r="R5" s="157" t="s">
        <v>181</v>
      </c>
      <c r="S5" s="158" t="s">
        <v>181</v>
      </c>
      <c r="T5" s="158" t="s">
        <v>181</v>
      </c>
      <c r="U5" s="159" t="s">
        <v>181</v>
      </c>
      <c r="V5" s="157" t="s">
        <v>181</v>
      </c>
      <c r="W5" s="158" t="s">
        <v>181</v>
      </c>
      <c r="X5" s="158" t="s">
        <v>181</v>
      </c>
      <c r="Y5" s="159" t="s">
        <v>181</v>
      </c>
      <c r="Z5" s="197">
        <v>321924</v>
      </c>
      <c r="AA5" s="197">
        <v>328000</v>
      </c>
      <c r="AB5" s="197">
        <v>344217</v>
      </c>
      <c r="AC5" s="293">
        <f>356152-2164</f>
        <v>353988</v>
      </c>
      <c r="AD5" s="197">
        <f>369019-2609</f>
        <v>366410</v>
      </c>
      <c r="AE5" s="713">
        <v>367647</v>
      </c>
      <c r="AF5" s="197"/>
      <c r="AG5" s="293"/>
    </row>
    <row r="6" spans="1:35" s="160" customFormat="1" ht="16.7" customHeight="1" x14ac:dyDescent="0.2">
      <c r="A6" s="161" t="s">
        <v>182</v>
      </c>
      <c r="B6" s="162">
        <v>5600.5</v>
      </c>
      <c r="C6" s="163">
        <f>C4-B4</f>
        <v>3472</v>
      </c>
      <c r="D6" s="163">
        <f t="shared" ref="D6:X6" si="0">D4-C4</f>
        <v>-259</v>
      </c>
      <c r="E6" s="164">
        <f t="shared" si="0"/>
        <v>-530</v>
      </c>
      <c r="F6" s="162">
        <f>F4-E4</f>
        <v>7575</v>
      </c>
      <c r="G6" s="163">
        <f t="shared" si="0"/>
        <v>-24129</v>
      </c>
      <c r="H6" s="163">
        <f t="shared" si="0"/>
        <v>-4264</v>
      </c>
      <c r="I6" s="164">
        <f t="shared" si="0"/>
        <v>-1904</v>
      </c>
      <c r="J6" s="162">
        <f>J4-I4</f>
        <v>9642</v>
      </c>
      <c r="K6" s="163">
        <f t="shared" si="0"/>
        <v>-23546</v>
      </c>
      <c r="L6" s="163">
        <f t="shared" si="0"/>
        <v>7112</v>
      </c>
      <c r="M6" s="164">
        <f>M4-L4</f>
        <v>14702</v>
      </c>
      <c r="N6" s="162">
        <f>N4-M4</f>
        <v>11950</v>
      </c>
      <c r="O6" s="163">
        <f t="shared" si="0"/>
        <v>5457</v>
      </c>
      <c r="P6" s="163">
        <f t="shared" si="0"/>
        <v>5862</v>
      </c>
      <c r="Q6" s="164">
        <f>Q4-P4</f>
        <v>2939</v>
      </c>
      <c r="R6" s="162">
        <f>R4-Q4</f>
        <v>-1487</v>
      </c>
      <c r="S6" s="163">
        <f t="shared" si="0"/>
        <v>263</v>
      </c>
      <c r="T6" s="163">
        <f t="shared" si="0"/>
        <v>3705</v>
      </c>
      <c r="U6" s="164">
        <f t="shared" si="0"/>
        <v>3869</v>
      </c>
      <c r="V6" s="162">
        <f t="shared" si="0"/>
        <v>10201</v>
      </c>
      <c r="W6" s="163">
        <f t="shared" si="0"/>
        <v>3403</v>
      </c>
      <c r="X6" s="163">
        <f t="shared" si="0"/>
        <v>6282</v>
      </c>
      <c r="Y6" s="164">
        <f>Y4-X4</f>
        <v>5745</v>
      </c>
      <c r="Z6" s="198">
        <f>Z5-317303</f>
        <v>4621</v>
      </c>
      <c r="AA6" s="198">
        <f>AA5-Z5</f>
        <v>6076</v>
      </c>
      <c r="AB6" s="198">
        <f>AB5-AA5</f>
        <v>16217</v>
      </c>
      <c r="AC6" s="294">
        <f>AC5-AB5</f>
        <v>9771</v>
      </c>
      <c r="AD6" s="198">
        <f>AD5-AC5</f>
        <v>12422</v>
      </c>
      <c r="AE6" s="714">
        <f>AE5-AD5</f>
        <v>1237</v>
      </c>
      <c r="AF6" s="198"/>
      <c r="AG6" s="294"/>
      <c r="AI6" s="165"/>
    </row>
    <row r="7" spans="1:35" s="160" customFormat="1" ht="16.7" customHeight="1" x14ac:dyDescent="0.2">
      <c r="A7" s="161" t="s">
        <v>183</v>
      </c>
      <c r="B7" s="166">
        <v>2.0500000000000001E-2</v>
      </c>
      <c r="C7" s="167">
        <f>C6/B4</f>
        <v>1.2455292602517605E-2</v>
      </c>
      <c r="D7" s="167">
        <f>D6/C4</f>
        <v>-9.1769449631327752E-4</v>
      </c>
      <c r="E7" s="168">
        <f>E6/D4</f>
        <v>-1.8796325850267759E-3</v>
      </c>
      <c r="F7" s="166">
        <f>F6/E4</f>
        <v>2.6915150653780556E-2</v>
      </c>
      <c r="G7" s="167">
        <f>G6/F4</f>
        <v>-8.3487016244831583E-2</v>
      </c>
      <c r="H7" s="167">
        <f t="shared" ref="H7:X7" si="1">H6/G4</f>
        <v>-1.6097490996126635E-2</v>
      </c>
      <c r="I7" s="168">
        <f t="shared" si="1"/>
        <v>-7.3055996807637113E-3</v>
      </c>
      <c r="J7" s="166">
        <f>J6/I4</f>
        <v>3.7268377151956959E-2</v>
      </c>
      <c r="K7" s="167">
        <f t="shared" si="1"/>
        <v>-8.774034878521389E-2</v>
      </c>
      <c r="L7" s="167">
        <f t="shared" si="1"/>
        <v>2.9050626189678696E-2</v>
      </c>
      <c r="M7" s="168">
        <f t="shared" si="1"/>
        <v>5.835840683375277E-2</v>
      </c>
      <c r="N7" s="166">
        <f>N6/M4</f>
        <v>4.4818998754819449E-2</v>
      </c>
      <c r="O7" s="167">
        <f t="shared" si="1"/>
        <v>1.9588768675200482E-2</v>
      </c>
      <c r="P7" s="167">
        <f t="shared" si="1"/>
        <v>2.0638301617758373E-2</v>
      </c>
      <c r="Q7" s="168">
        <f t="shared" si="1"/>
        <v>1.0138083526217933E-2</v>
      </c>
      <c r="R7" s="166">
        <f>R6/Q4</f>
        <v>-5.0779275772104525E-3</v>
      </c>
      <c r="S7" s="167">
        <f t="shared" si="1"/>
        <v>9.0269745219650663E-4</v>
      </c>
      <c r="T7" s="167">
        <f t="shared" si="1"/>
        <v>1.2705238467552775E-2</v>
      </c>
      <c r="U7" s="168">
        <f t="shared" si="1"/>
        <v>1.3101176024407671E-2</v>
      </c>
      <c r="V7" s="166">
        <f t="shared" si="1"/>
        <v>3.4095846730796228E-2</v>
      </c>
      <c r="W7" s="167">
        <f t="shared" si="1"/>
        <v>1.0999169325149409E-2</v>
      </c>
      <c r="X7" s="167">
        <f t="shared" si="1"/>
        <v>2.0083762268614726E-2</v>
      </c>
      <c r="Y7" s="168">
        <f>Y6/X4</f>
        <v>1.80053404874135E-2</v>
      </c>
      <c r="Z7" s="199">
        <f>Z6/317303</f>
        <v>1.4563366876455628E-2</v>
      </c>
      <c r="AA7" s="199">
        <f>AA6/Z5</f>
        <v>1.887401995502044E-2</v>
      </c>
      <c r="AB7" s="199">
        <f>AB6/AA5</f>
        <v>4.944207317073171E-2</v>
      </c>
      <c r="AC7" s="295">
        <f>AC6/AB5</f>
        <v>2.8386163379496072E-2</v>
      </c>
      <c r="AD7" s="199">
        <f>AD6/AC5</f>
        <v>3.5091585025481091E-2</v>
      </c>
      <c r="AE7" s="715">
        <f>AE6/AD5</f>
        <v>3.3759995633306952E-3</v>
      </c>
      <c r="AF7" s="199"/>
      <c r="AG7" s="295"/>
    </row>
    <row r="8" spans="1:35" s="160" customFormat="1" ht="16.7" customHeight="1" x14ac:dyDescent="0.2">
      <c r="A8" s="172" t="s">
        <v>424</v>
      </c>
      <c r="B8" s="169" t="s">
        <v>192</v>
      </c>
      <c r="C8" s="170"/>
      <c r="D8" s="170"/>
      <c r="E8" s="171"/>
      <c r="F8" s="169" t="s">
        <v>193</v>
      </c>
      <c r="G8" s="170" t="s">
        <v>194</v>
      </c>
      <c r="H8" s="170" t="s">
        <v>195</v>
      </c>
      <c r="I8" s="171"/>
      <c r="J8" s="169" t="s">
        <v>196</v>
      </c>
      <c r="K8" s="170" t="s">
        <v>197</v>
      </c>
      <c r="L8" s="170" t="s">
        <v>198</v>
      </c>
      <c r="M8" s="171" t="s">
        <v>199</v>
      </c>
      <c r="N8" s="169" t="s">
        <v>200</v>
      </c>
      <c r="O8" s="170"/>
      <c r="P8" s="170" t="s">
        <v>201</v>
      </c>
      <c r="Q8" s="171"/>
      <c r="R8" s="169"/>
      <c r="S8" s="170"/>
      <c r="T8" s="170"/>
      <c r="U8" s="171"/>
      <c r="V8" s="169"/>
      <c r="W8" s="170"/>
      <c r="X8" s="170"/>
      <c r="Y8" s="171"/>
      <c r="Z8" s="200"/>
      <c r="AA8" s="200"/>
      <c r="AB8" s="200">
        <v>-9108</v>
      </c>
      <c r="AC8" s="296">
        <f>-7085+2164</f>
        <v>-4921</v>
      </c>
      <c r="AD8" s="200">
        <f>-5207+2609</f>
        <v>-2598</v>
      </c>
      <c r="AE8" s="716"/>
      <c r="AF8" s="200"/>
      <c r="AG8" s="296"/>
    </row>
    <row r="9" spans="1:35" s="160" customFormat="1" ht="16.7" customHeight="1" x14ac:dyDescent="0.2">
      <c r="A9" s="156" t="s">
        <v>476</v>
      </c>
      <c r="B9" s="169" t="s">
        <v>181</v>
      </c>
      <c r="C9" s="170" t="s">
        <v>181</v>
      </c>
      <c r="D9" s="170" t="s">
        <v>181</v>
      </c>
      <c r="E9" s="171" t="s">
        <v>181</v>
      </c>
      <c r="F9" s="169" t="s">
        <v>181</v>
      </c>
      <c r="G9" s="170" t="s">
        <v>181</v>
      </c>
      <c r="H9" s="170" t="s">
        <v>181</v>
      </c>
      <c r="I9" s="171" t="s">
        <v>181</v>
      </c>
      <c r="J9" s="169" t="s">
        <v>181</v>
      </c>
      <c r="K9" s="170" t="s">
        <v>181</v>
      </c>
      <c r="L9" s="170" t="s">
        <v>181</v>
      </c>
      <c r="M9" s="171" t="s">
        <v>181</v>
      </c>
      <c r="N9" s="169" t="s">
        <v>478</v>
      </c>
      <c r="O9" s="170" t="s">
        <v>479</v>
      </c>
      <c r="P9" s="170" t="s">
        <v>480</v>
      </c>
      <c r="Q9" s="171" t="s">
        <v>480</v>
      </c>
      <c r="R9" s="169" t="s">
        <v>480</v>
      </c>
      <c r="S9" s="170" t="s">
        <v>481</v>
      </c>
      <c r="T9" s="170" t="s">
        <v>482</v>
      </c>
      <c r="U9" s="171" t="s">
        <v>483</v>
      </c>
      <c r="V9" s="169" t="s">
        <v>484</v>
      </c>
      <c r="W9" s="170" t="s">
        <v>485</v>
      </c>
      <c r="X9" s="170" t="s">
        <v>486</v>
      </c>
      <c r="Y9" s="171" t="s">
        <v>487</v>
      </c>
      <c r="Z9" s="200" t="s">
        <v>488</v>
      </c>
      <c r="AA9" s="200" t="s">
        <v>489</v>
      </c>
      <c r="AB9" s="200" t="s">
        <v>490</v>
      </c>
      <c r="AC9" s="296" t="s">
        <v>491</v>
      </c>
      <c r="AD9" s="200">
        <v>-3490</v>
      </c>
      <c r="AE9" s="716">
        <v>-3611</v>
      </c>
      <c r="AF9" s="200"/>
      <c r="AG9" s="296"/>
    </row>
    <row r="10" spans="1:35" s="160" customFormat="1" ht="16.7" customHeight="1" x14ac:dyDescent="0.2">
      <c r="A10" s="156" t="s">
        <v>492</v>
      </c>
      <c r="B10" s="169" t="s">
        <v>181</v>
      </c>
      <c r="C10" s="170" t="s">
        <v>181</v>
      </c>
      <c r="D10" s="170" t="s">
        <v>181</v>
      </c>
      <c r="E10" s="171" t="s">
        <v>181</v>
      </c>
      <c r="F10" s="169" t="s">
        <v>181</v>
      </c>
      <c r="G10" s="170" t="s">
        <v>181</v>
      </c>
      <c r="H10" s="170" t="s">
        <v>181</v>
      </c>
      <c r="I10" s="171" t="s">
        <v>181</v>
      </c>
      <c r="J10" s="169" t="s">
        <v>181</v>
      </c>
      <c r="K10" s="170" t="s">
        <v>181</v>
      </c>
      <c r="L10" s="170" t="s">
        <v>181</v>
      </c>
      <c r="M10" s="171" t="s">
        <v>181</v>
      </c>
      <c r="N10" s="169" t="s">
        <v>181</v>
      </c>
      <c r="O10" s="170" t="s">
        <v>181</v>
      </c>
      <c r="P10" s="170" t="s">
        <v>181</v>
      </c>
      <c r="Q10" s="171" t="s">
        <v>181</v>
      </c>
      <c r="R10" s="169" t="s">
        <v>181</v>
      </c>
      <c r="S10" s="170" t="s">
        <v>181</v>
      </c>
      <c r="T10" s="170" t="s">
        <v>181</v>
      </c>
      <c r="U10" s="171" t="s">
        <v>181</v>
      </c>
      <c r="V10" s="169" t="s">
        <v>181</v>
      </c>
      <c r="W10" s="170" t="s">
        <v>181</v>
      </c>
      <c r="X10" s="170" t="s">
        <v>181</v>
      </c>
      <c r="Y10" s="171" t="s">
        <v>181</v>
      </c>
      <c r="Z10" s="169" t="s">
        <v>181</v>
      </c>
      <c r="AA10" s="170" t="s">
        <v>181</v>
      </c>
      <c r="AB10" s="170" t="s">
        <v>181</v>
      </c>
      <c r="AC10" s="171" t="s">
        <v>181</v>
      </c>
      <c r="AD10" s="200">
        <v>-2539</v>
      </c>
      <c r="AE10" s="716"/>
      <c r="AF10" s="200"/>
      <c r="AG10" s="296"/>
    </row>
    <row r="11" spans="1:35" s="160" customFormat="1" ht="16.7" customHeight="1" x14ac:dyDescent="0.2">
      <c r="A11" s="156" t="s">
        <v>517</v>
      </c>
      <c r="B11" s="169" t="s">
        <v>181</v>
      </c>
      <c r="C11" s="170" t="s">
        <v>181</v>
      </c>
      <c r="D11" s="170" t="s">
        <v>181</v>
      </c>
      <c r="E11" s="171" t="s">
        <v>181</v>
      </c>
      <c r="F11" s="169" t="s">
        <v>181</v>
      </c>
      <c r="G11" s="170" t="s">
        <v>181</v>
      </c>
      <c r="H11" s="170" t="s">
        <v>181</v>
      </c>
      <c r="I11" s="171" t="s">
        <v>181</v>
      </c>
      <c r="J11" s="169" t="s">
        <v>181</v>
      </c>
      <c r="K11" s="170" t="s">
        <v>181</v>
      </c>
      <c r="L11" s="170" t="s">
        <v>181</v>
      </c>
      <c r="M11" s="171" t="s">
        <v>181</v>
      </c>
      <c r="N11" s="169" t="s">
        <v>181</v>
      </c>
      <c r="O11" s="170" t="s">
        <v>181</v>
      </c>
      <c r="P11" s="170" t="s">
        <v>181</v>
      </c>
      <c r="Q11" s="171" t="s">
        <v>181</v>
      </c>
      <c r="R11" s="169" t="s">
        <v>181</v>
      </c>
      <c r="S11" s="170" t="s">
        <v>181</v>
      </c>
      <c r="T11" s="170" t="s">
        <v>181</v>
      </c>
      <c r="U11" s="171" t="s">
        <v>181</v>
      </c>
      <c r="V11" s="169" t="s">
        <v>181</v>
      </c>
      <c r="W11" s="170" t="s">
        <v>181</v>
      </c>
      <c r="X11" s="170" t="s">
        <v>181</v>
      </c>
      <c r="Y11" s="171" t="s">
        <v>181</v>
      </c>
      <c r="Z11" s="169" t="s">
        <v>181</v>
      </c>
      <c r="AA11" s="170" t="s">
        <v>181</v>
      </c>
      <c r="AB11" s="170" t="s">
        <v>181</v>
      </c>
      <c r="AC11" s="171" t="s">
        <v>181</v>
      </c>
      <c r="AD11" s="200">
        <v>-1027</v>
      </c>
      <c r="AE11" s="716">
        <f>-184-2227</f>
        <v>-2411</v>
      </c>
      <c r="AF11" s="200"/>
      <c r="AG11" s="296"/>
    </row>
    <row r="12" spans="1:35" s="160" customFormat="1" ht="16.7" customHeight="1" x14ac:dyDescent="0.2">
      <c r="A12" s="156" t="s">
        <v>494</v>
      </c>
      <c r="B12" s="169" t="s">
        <v>181</v>
      </c>
      <c r="C12" s="170" t="s">
        <v>181</v>
      </c>
      <c r="D12" s="170" t="s">
        <v>181</v>
      </c>
      <c r="E12" s="171" t="s">
        <v>181</v>
      </c>
      <c r="F12" s="169" t="s">
        <v>181</v>
      </c>
      <c r="G12" s="170" t="s">
        <v>181</v>
      </c>
      <c r="H12" s="170" t="s">
        <v>181</v>
      </c>
      <c r="I12" s="171" t="s">
        <v>181</v>
      </c>
      <c r="J12" s="169" t="s">
        <v>181</v>
      </c>
      <c r="K12" s="170" t="s">
        <v>181</v>
      </c>
      <c r="L12" s="170" t="s">
        <v>181</v>
      </c>
      <c r="M12" s="171" t="s">
        <v>181</v>
      </c>
      <c r="N12" s="169" t="s">
        <v>181</v>
      </c>
      <c r="O12" s="170" t="s">
        <v>181</v>
      </c>
      <c r="P12" s="170" t="s">
        <v>181</v>
      </c>
      <c r="Q12" s="171" t="s">
        <v>181</v>
      </c>
      <c r="R12" s="169" t="s">
        <v>495</v>
      </c>
      <c r="S12" s="170" t="s">
        <v>496</v>
      </c>
      <c r="T12" s="170" t="s">
        <v>497</v>
      </c>
      <c r="U12" s="171" t="s">
        <v>498</v>
      </c>
      <c r="V12" s="169" t="s">
        <v>499</v>
      </c>
      <c r="W12" s="170" t="s">
        <v>500</v>
      </c>
      <c r="X12" s="170" t="s">
        <v>501</v>
      </c>
      <c r="Y12" s="171" t="s">
        <v>502</v>
      </c>
      <c r="Z12" s="200" t="s">
        <v>503</v>
      </c>
      <c r="AA12" s="200" t="s">
        <v>504</v>
      </c>
      <c r="AB12" s="200" t="s">
        <v>505</v>
      </c>
      <c r="AC12" s="296" t="s">
        <v>506</v>
      </c>
      <c r="AD12" s="200">
        <v>2537</v>
      </c>
      <c r="AE12" s="716">
        <v>2580</v>
      </c>
      <c r="AF12" s="200"/>
      <c r="AG12" s="296"/>
    </row>
    <row r="13" spans="1:35" s="160" customFormat="1" ht="16.7" customHeight="1" x14ac:dyDescent="0.2">
      <c r="A13" s="156" t="s">
        <v>493</v>
      </c>
      <c r="B13" s="169" t="s">
        <v>181</v>
      </c>
      <c r="C13" s="170" t="s">
        <v>181</v>
      </c>
      <c r="D13" s="170" t="s">
        <v>181</v>
      </c>
      <c r="E13" s="171" t="s">
        <v>181</v>
      </c>
      <c r="F13" s="169" t="s">
        <v>181</v>
      </c>
      <c r="G13" s="170" t="s">
        <v>181</v>
      </c>
      <c r="H13" s="170" t="s">
        <v>181</v>
      </c>
      <c r="I13" s="171" t="s">
        <v>181</v>
      </c>
      <c r="J13" s="169" t="s">
        <v>181</v>
      </c>
      <c r="K13" s="170" t="s">
        <v>181</v>
      </c>
      <c r="L13" s="170" t="s">
        <v>181</v>
      </c>
      <c r="M13" s="171" t="s">
        <v>181</v>
      </c>
      <c r="N13" s="169" t="s">
        <v>181</v>
      </c>
      <c r="O13" s="170" t="s">
        <v>181</v>
      </c>
      <c r="P13" s="170" t="s">
        <v>181</v>
      </c>
      <c r="Q13" s="171" t="s">
        <v>181</v>
      </c>
      <c r="R13" s="169" t="s">
        <v>181</v>
      </c>
      <c r="S13" s="170" t="s">
        <v>181</v>
      </c>
      <c r="T13" s="170" t="s">
        <v>181</v>
      </c>
      <c r="U13" s="171" t="s">
        <v>181</v>
      </c>
      <c r="V13" s="169" t="s">
        <v>181</v>
      </c>
      <c r="W13" s="170" t="s">
        <v>181</v>
      </c>
      <c r="X13" s="170" t="s">
        <v>181</v>
      </c>
      <c r="Y13" s="171" t="s">
        <v>181</v>
      </c>
      <c r="Z13" s="169" t="s">
        <v>181</v>
      </c>
      <c r="AA13" s="170" t="s">
        <v>181</v>
      </c>
      <c r="AB13" s="170" t="s">
        <v>181</v>
      </c>
      <c r="AC13" s="171" t="s">
        <v>181</v>
      </c>
      <c r="AD13" s="200">
        <v>-67</v>
      </c>
      <c r="AE13" s="716">
        <v>-43</v>
      </c>
      <c r="AF13" s="200"/>
      <c r="AG13" s="296"/>
    </row>
    <row r="14" spans="1:35" s="160" customFormat="1" ht="16.7" customHeight="1" x14ac:dyDescent="0.2">
      <c r="A14" s="725" t="s">
        <v>202</v>
      </c>
      <c r="B14" s="169" t="s">
        <v>203</v>
      </c>
      <c r="C14" s="163"/>
      <c r="D14" s="163"/>
      <c r="E14" s="164"/>
      <c r="F14" s="162"/>
      <c r="G14" s="170" t="s">
        <v>204</v>
      </c>
      <c r="H14" s="163"/>
      <c r="I14" s="164"/>
      <c r="J14" s="169" t="s">
        <v>205</v>
      </c>
      <c r="K14" s="163"/>
      <c r="L14" s="163"/>
      <c r="M14" s="164" t="s">
        <v>206</v>
      </c>
      <c r="N14" s="162"/>
      <c r="O14" s="163"/>
      <c r="P14" s="163"/>
      <c r="Q14" s="164"/>
      <c r="R14" s="162">
        <v>5100</v>
      </c>
      <c r="S14" s="163">
        <v>1200</v>
      </c>
      <c r="T14" s="163"/>
      <c r="U14" s="164"/>
      <c r="V14" s="162"/>
      <c r="W14" s="163"/>
      <c r="X14" s="163"/>
      <c r="Y14" s="164"/>
      <c r="Z14" s="198"/>
      <c r="AA14" s="198"/>
      <c r="AB14" s="198"/>
      <c r="AC14" s="294">
        <v>2000</v>
      </c>
      <c r="AD14" s="198">
        <v>1000</v>
      </c>
      <c r="AE14" s="714">
        <v>7000</v>
      </c>
      <c r="AF14" s="198"/>
      <c r="AG14" s="294"/>
    </row>
    <row r="15" spans="1:35" s="160" customFormat="1" ht="16.7" customHeight="1" x14ac:dyDescent="0.2">
      <c r="A15" s="718" t="s">
        <v>509</v>
      </c>
      <c r="B15" s="719" t="s">
        <v>181</v>
      </c>
      <c r="C15" s="720" t="s">
        <v>181</v>
      </c>
      <c r="D15" s="720" t="s">
        <v>181</v>
      </c>
      <c r="E15" s="721" t="s">
        <v>181</v>
      </c>
      <c r="F15" s="719" t="s">
        <v>181</v>
      </c>
      <c r="G15" s="720" t="s">
        <v>181</v>
      </c>
      <c r="H15" s="720" t="s">
        <v>181</v>
      </c>
      <c r="I15" s="721" t="s">
        <v>181</v>
      </c>
      <c r="J15" s="719" t="s">
        <v>184</v>
      </c>
      <c r="K15" s="720" t="s">
        <v>185</v>
      </c>
      <c r="L15" s="720" t="s">
        <v>186</v>
      </c>
      <c r="M15" s="721" t="s">
        <v>187</v>
      </c>
      <c r="N15" s="719" t="s">
        <v>188</v>
      </c>
      <c r="O15" s="720" t="s">
        <v>189</v>
      </c>
      <c r="P15" s="720" t="s">
        <v>186</v>
      </c>
      <c r="Q15" s="721" t="s">
        <v>190</v>
      </c>
      <c r="R15" s="719">
        <f>-765-307</f>
        <v>-1072</v>
      </c>
      <c r="S15" s="720">
        <v>-227</v>
      </c>
      <c r="T15" s="720">
        <v>-884</v>
      </c>
      <c r="U15" s="721">
        <v>-1321</v>
      </c>
      <c r="V15" s="719">
        <v>-3372</v>
      </c>
      <c r="W15" s="720">
        <v>-423</v>
      </c>
      <c r="X15" s="720">
        <f>-520-59</f>
        <v>-579</v>
      </c>
      <c r="Y15" s="721">
        <v>-199</v>
      </c>
      <c r="Z15" s="722">
        <v>-283</v>
      </c>
      <c r="AA15" s="722">
        <v>-1492</v>
      </c>
      <c r="AB15" s="722">
        <v>-2025</v>
      </c>
      <c r="AC15" s="723">
        <f>-1130+111</f>
        <v>-1019</v>
      </c>
      <c r="AD15" s="722">
        <v>-943</v>
      </c>
      <c r="AE15" s="724">
        <v>-683</v>
      </c>
      <c r="AF15" s="722"/>
      <c r="AG15" s="723"/>
    </row>
    <row r="16" spans="1:35" s="160" customFormat="1" ht="16.7" customHeight="1" x14ac:dyDescent="0.2">
      <c r="A16" s="156" t="s">
        <v>511</v>
      </c>
      <c r="B16" s="169" t="s">
        <v>181</v>
      </c>
      <c r="C16" s="170" t="s">
        <v>181</v>
      </c>
      <c r="D16" s="170" t="s">
        <v>181</v>
      </c>
      <c r="E16" s="171" t="s">
        <v>181</v>
      </c>
      <c r="F16" s="169" t="s">
        <v>181</v>
      </c>
      <c r="G16" s="170" t="s">
        <v>181</v>
      </c>
      <c r="H16" s="170" t="s">
        <v>181</v>
      </c>
      <c r="I16" s="171" t="s">
        <v>181</v>
      </c>
      <c r="J16" s="169" t="s">
        <v>181</v>
      </c>
      <c r="K16" s="170" t="s">
        <v>181</v>
      </c>
      <c r="L16" s="170" t="s">
        <v>181</v>
      </c>
      <c r="M16" s="171" t="s">
        <v>181</v>
      </c>
      <c r="N16" s="169" t="s">
        <v>181</v>
      </c>
      <c r="O16" s="170" t="s">
        <v>181</v>
      </c>
      <c r="P16" s="170" t="s">
        <v>181</v>
      </c>
      <c r="Q16" s="171" t="s">
        <v>181</v>
      </c>
      <c r="R16" s="162"/>
      <c r="S16" s="163"/>
      <c r="T16" s="163"/>
      <c r="U16" s="164">
        <v>151</v>
      </c>
      <c r="V16" s="162"/>
      <c r="W16" s="163"/>
      <c r="X16" s="163">
        <v>64</v>
      </c>
      <c r="Y16" s="164">
        <f>609+153+22</f>
        <v>784</v>
      </c>
      <c r="Z16" s="198">
        <v>407</v>
      </c>
      <c r="AA16" s="198">
        <v>69</v>
      </c>
      <c r="AB16" s="198">
        <v>435</v>
      </c>
      <c r="AC16" s="294">
        <v>1382</v>
      </c>
      <c r="AD16" s="198">
        <v>924</v>
      </c>
      <c r="AE16" s="714"/>
      <c r="AF16" s="198"/>
      <c r="AG16" s="294"/>
    </row>
    <row r="17" spans="1:34" s="160" customFormat="1" ht="16.7" customHeight="1" x14ac:dyDescent="0.2">
      <c r="A17" s="156" t="s">
        <v>191</v>
      </c>
      <c r="B17" s="169" t="s">
        <v>181</v>
      </c>
      <c r="C17" s="170" t="s">
        <v>181</v>
      </c>
      <c r="D17" s="170" t="s">
        <v>181</v>
      </c>
      <c r="E17" s="171" t="s">
        <v>181</v>
      </c>
      <c r="F17" s="169" t="s">
        <v>181</v>
      </c>
      <c r="G17" s="170" t="s">
        <v>181</v>
      </c>
      <c r="H17" s="170" t="s">
        <v>181</v>
      </c>
      <c r="I17" s="171" t="s">
        <v>181</v>
      </c>
      <c r="J17" s="169" t="s">
        <v>181</v>
      </c>
      <c r="K17" s="170" t="s">
        <v>181</v>
      </c>
      <c r="L17" s="170" t="s">
        <v>181</v>
      </c>
      <c r="M17" s="171" t="s">
        <v>181</v>
      </c>
      <c r="N17" s="169" t="s">
        <v>181</v>
      </c>
      <c r="O17" s="170" t="s">
        <v>181</v>
      </c>
      <c r="P17" s="170" t="s">
        <v>181</v>
      </c>
      <c r="Q17" s="171" t="s">
        <v>181</v>
      </c>
      <c r="R17" s="162">
        <v>-4459</v>
      </c>
      <c r="S17" s="163"/>
      <c r="T17" s="163"/>
      <c r="U17" s="164">
        <v>-500</v>
      </c>
      <c r="V17" s="162">
        <v>-4382</v>
      </c>
      <c r="W17" s="163"/>
      <c r="X17" s="163">
        <v>-3978</v>
      </c>
      <c r="Y17" s="164">
        <v>-3294</v>
      </c>
      <c r="Z17" s="198">
        <v>-2650</v>
      </c>
      <c r="AA17" s="198">
        <v>-992</v>
      </c>
      <c r="AB17" s="198">
        <v>-2975</v>
      </c>
      <c r="AC17" s="294">
        <f>-350-1373-3161</f>
        <v>-4884</v>
      </c>
      <c r="AD17" s="198">
        <v>-2682</v>
      </c>
      <c r="AE17" s="714">
        <f>-915-307</f>
        <v>-1222</v>
      </c>
      <c r="AF17" s="198"/>
      <c r="AG17" s="294"/>
    </row>
    <row r="18" spans="1:34" s="160" customFormat="1" ht="16.7" customHeight="1" x14ac:dyDescent="0.2">
      <c r="A18" s="156" t="s">
        <v>416</v>
      </c>
      <c r="B18" s="169" t="s">
        <v>181</v>
      </c>
      <c r="C18" s="170" t="s">
        <v>181</v>
      </c>
      <c r="D18" s="170" t="s">
        <v>181</v>
      </c>
      <c r="E18" s="171" t="s">
        <v>181</v>
      </c>
      <c r="F18" s="169" t="s">
        <v>181</v>
      </c>
      <c r="G18" s="170" t="s">
        <v>181</v>
      </c>
      <c r="H18" s="170" t="s">
        <v>181</v>
      </c>
      <c r="I18" s="171" t="s">
        <v>181</v>
      </c>
      <c r="J18" s="169" t="s">
        <v>181</v>
      </c>
      <c r="K18" s="170" t="s">
        <v>181</v>
      </c>
      <c r="L18" s="170" t="s">
        <v>181</v>
      </c>
      <c r="M18" s="171" t="s">
        <v>181</v>
      </c>
      <c r="N18" s="169" t="s">
        <v>181</v>
      </c>
      <c r="O18" s="170" t="s">
        <v>181</v>
      </c>
      <c r="P18" s="170" t="s">
        <v>181</v>
      </c>
      <c r="Q18" s="171" t="s">
        <v>181</v>
      </c>
      <c r="R18" s="162"/>
      <c r="S18" s="163"/>
      <c r="T18" s="163"/>
      <c r="U18" s="164"/>
      <c r="V18" s="162"/>
      <c r="W18" s="163"/>
      <c r="X18" s="163"/>
      <c r="Y18" s="164"/>
      <c r="Z18" s="198"/>
      <c r="AA18" s="198"/>
      <c r="AB18" s="198">
        <v>1400</v>
      </c>
      <c r="AC18" s="294">
        <v>1000</v>
      </c>
      <c r="AD18" s="198"/>
      <c r="AE18" s="714">
        <f>250+566</f>
        <v>816</v>
      </c>
      <c r="AF18" s="198"/>
      <c r="AG18" s="294"/>
    </row>
    <row r="19" spans="1:34" s="155" customFormat="1" ht="16.149999999999999" customHeight="1" x14ac:dyDescent="0.2">
      <c r="A19" s="173" t="s">
        <v>207</v>
      </c>
      <c r="B19" s="169" t="s">
        <v>181</v>
      </c>
      <c r="C19" s="170" t="s">
        <v>181</v>
      </c>
      <c r="D19" s="170" t="s">
        <v>181</v>
      </c>
      <c r="E19" s="171" t="s">
        <v>181</v>
      </c>
      <c r="F19" s="169" t="s">
        <v>181</v>
      </c>
      <c r="G19" s="170" t="s">
        <v>181</v>
      </c>
      <c r="H19" s="170" t="s">
        <v>181</v>
      </c>
      <c r="I19" s="171" t="s">
        <v>181</v>
      </c>
      <c r="J19" s="169" t="s">
        <v>181</v>
      </c>
      <c r="K19" s="170" t="s">
        <v>181</v>
      </c>
      <c r="L19" s="170" t="s">
        <v>181</v>
      </c>
      <c r="M19" s="171" t="s">
        <v>181</v>
      </c>
      <c r="N19" s="169" t="s">
        <v>181</v>
      </c>
      <c r="O19" s="170" t="s">
        <v>181</v>
      </c>
      <c r="P19" s="170" t="s">
        <v>181</v>
      </c>
      <c r="Q19" s="171" t="s">
        <v>181</v>
      </c>
      <c r="R19" s="152">
        <f t="shared" ref="R19" si="2">SUM(R6,R8:R18)</f>
        <v>-1918</v>
      </c>
      <c r="S19" s="153">
        <f>SUM(S6,S8:S18)</f>
        <v>1236</v>
      </c>
      <c r="T19" s="153">
        <f t="shared" ref="T19" si="3">SUM(T6,T8:T18)</f>
        <v>2821</v>
      </c>
      <c r="U19" s="154">
        <f>SUM(U6,U8:U18)</f>
        <v>2199</v>
      </c>
      <c r="V19" s="152">
        <f t="shared" ref="V19" si="4">SUM(V6,V8:V18)</f>
        <v>2447</v>
      </c>
      <c r="W19" s="153">
        <f>SUM(W6,W8:W18)</f>
        <v>2980</v>
      </c>
      <c r="X19" s="153">
        <f t="shared" ref="X19" si="5">SUM(X6,X8:X18)</f>
        <v>1789</v>
      </c>
      <c r="Y19" s="154">
        <f>SUM(Y6,Y8:Y18)</f>
        <v>3036</v>
      </c>
      <c r="Z19" s="201">
        <f t="shared" ref="Z19:AB19" si="6">SUM(Z6,Z8:Z18)</f>
        <v>2095</v>
      </c>
      <c r="AA19" s="197">
        <f>SUM(AA6,AA8:AA18)</f>
        <v>3661</v>
      </c>
      <c r="AB19" s="197">
        <f t="shared" si="6"/>
        <v>3944</v>
      </c>
      <c r="AC19" s="293">
        <f>SUM(AC6,AC8:AC18)</f>
        <v>3329</v>
      </c>
      <c r="AD19" s="201">
        <f>SUM(AD6,AD8:AD18)</f>
        <v>3537</v>
      </c>
      <c r="AE19" s="713">
        <f>SUM(AE6,AE8:AE18)</f>
        <v>3663</v>
      </c>
      <c r="AF19" s="197"/>
      <c r="AG19" s="293"/>
    </row>
    <row r="20" spans="1:34" s="155" customFormat="1" ht="16.149999999999999" customHeight="1" x14ac:dyDescent="0.2">
      <c r="A20" s="151" t="s">
        <v>208</v>
      </c>
      <c r="B20" s="169" t="s">
        <v>181</v>
      </c>
      <c r="C20" s="170" t="s">
        <v>181</v>
      </c>
      <c r="D20" s="170" t="s">
        <v>181</v>
      </c>
      <c r="E20" s="171" t="s">
        <v>181</v>
      </c>
      <c r="F20" s="169" t="s">
        <v>181</v>
      </c>
      <c r="G20" s="170" t="s">
        <v>181</v>
      </c>
      <c r="H20" s="170" t="s">
        <v>181</v>
      </c>
      <c r="I20" s="171" t="s">
        <v>181</v>
      </c>
      <c r="J20" s="169" t="s">
        <v>181</v>
      </c>
      <c r="K20" s="170" t="s">
        <v>181</v>
      </c>
      <c r="L20" s="170" t="s">
        <v>181</v>
      </c>
      <c r="M20" s="171" t="s">
        <v>181</v>
      </c>
      <c r="N20" s="169" t="s">
        <v>181</v>
      </c>
      <c r="O20" s="170" t="s">
        <v>181</v>
      </c>
      <c r="P20" s="170" t="s">
        <v>181</v>
      </c>
      <c r="Q20" s="171" t="s">
        <v>181</v>
      </c>
      <c r="R20" s="174">
        <f t="shared" ref="R20:Y20" si="7">R19/Q4</f>
        <v>-6.5497411520441477E-3</v>
      </c>
      <c r="S20" s="175">
        <f t="shared" si="7"/>
        <v>4.2423347943531644E-3</v>
      </c>
      <c r="T20" s="175">
        <f t="shared" si="7"/>
        <v>9.6738131489787806E-3</v>
      </c>
      <c r="U20" s="175">
        <f t="shared" si="7"/>
        <v>7.4462357398998365E-3</v>
      </c>
      <c r="V20" s="174">
        <f t="shared" si="7"/>
        <v>8.1788586364335229E-3</v>
      </c>
      <c r="W20" s="175">
        <f t="shared" si="7"/>
        <v>9.6319496294285153E-3</v>
      </c>
      <c r="X20" s="175">
        <f t="shared" si="7"/>
        <v>5.7194923111352665E-3</v>
      </c>
      <c r="Y20" s="175">
        <f t="shared" si="7"/>
        <v>9.5150937719386212E-3</v>
      </c>
      <c r="Z20" s="202">
        <f>Z19/317303</f>
        <v>6.6025218797174942E-3</v>
      </c>
      <c r="AA20" s="261">
        <f>AA19/Z5</f>
        <v>1.1372249350778445E-2</v>
      </c>
      <c r="AB20" s="261">
        <f>AB19/AA5</f>
        <v>1.2024390243902439E-2</v>
      </c>
      <c r="AC20" s="297">
        <f>AC19/AB5</f>
        <v>9.6712248378203278E-3</v>
      </c>
      <c r="AD20" s="202">
        <f>AD19/AC5</f>
        <v>9.9918641309874913E-3</v>
      </c>
      <c r="AE20" s="730">
        <f>AE19/AD5</f>
        <v>9.9969978985289705E-3</v>
      </c>
      <c r="AF20" s="261"/>
      <c r="AG20" s="297"/>
    </row>
    <row r="21" spans="1:34" s="155" customFormat="1" ht="16.149999999999999" customHeight="1" x14ac:dyDescent="0.2">
      <c r="A21" s="151" t="s">
        <v>249</v>
      </c>
      <c r="B21" s="169" t="s">
        <v>181</v>
      </c>
      <c r="C21" s="170" t="s">
        <v>181</v>
      </c>
      <c r="D21" s="170" t="s">
        <v>181</v>
      </c>
      <c r="E21" s="171" t="s">
        <v>181</v>
      </c>
      <c r="F21" s="169" t="s">
        <v>181</v>
      </c>
      <c r="G21" s="170" t="s">
        <v>181</v>
      </c>
      <c r="H21" s="170" t="s">
        <v>181</v>
      </c>
      <c r="I21" s="171" t="s">
        <v>181</v>
      </c>
      <c r="J21" s="169" t="s">
        <v>181</v>
      </c>
      <c r="K21" s="170" t="s">
        <v>181</v>
      </c>
      <c r="L21" s="170" t="s">
        <v>181</v>
      </c>
      <c r="M21" s="171" t="s">
        <v>181</v>
      </c>
      <c r="N21" s="169" t="s">
        <v>181</v>
      </c>
      <c r="O21" s="170" t="s">
        <v>181</v>
      </c>
      <c r="P21" s="170" t="s">
        <v>181</v>
      </c>
      <c r="Q21" s="171" t="s">
        <v>181</v>
      </c>
      <c r="R21" s="169" t="s">
        <v>181</v>
      </c>
      <c r="S21" s="170" t="s">
        <v>181</v>
      </c>
      <c r="T21" s="170" t="s">
        <v>181</v>
      </c>
      <c r="U21" s="171" t="s">
        <v>181</v>
      </c>
      <c r="V21" s="169" t="s">
        <v>181</v>
      </c>
      <c r="W21" s="170" t="s">
        <v>181</v>
      </c>
      <c r="X21" s="170" t="s">
        <v>181</v>
      </c>
      <c r="Y21" s="171" t="s">
        <v>181</v>
      </c>
      <c r="Z21" s="938">
        <f>AVERAGE(Z20:AC20)</f>
        <v>9.9175965780546761E-3</v>
      </c>
      <c r="AA21" s="939"/>
      <c r="AB21" s="939"/>
      <c r="AC21" s="940"/>
      <c r="AD21" s="930">
        <f>AVERAGE(AD20:AG20)</f>
        <v>9.9944310147582309E-3</v>
      </c>
      <c r="AE21" s="931"/>
      <c r="AF21" s="931"/>
      <c r="AG21" s="932"/>
    </row>
    <row r="22" spans="1:34" s="155" customFormat="1" ht="16.7" customHeight="1" x14ac:dyDescent="0.2">
      <c r="A22" s="176" t="s">
        <v>516</v>
      </c>
      <c r="B22" s="169" t="s">
        <v>181</v>
      </c>
      <c r="C22" s="170" t="s">
        <v>181</v>
      </c>
      <c r="D22" s="170" t="s">
        <v>181</v>
      </c>
      <c r="E22" s="171" t="s">
        <v>181</v>
      </c>
      <c r="F22" s="169" t="s">
        <v>181</v>
      </c>
      <c r="G22" s="170" t="s">
        <v>181</v>
      </c>
      <c r="H22" s="170" t="s">
        <v>181</v>
      </c>
      <c r="I22" s="171" t="s">
        <v>181</v>
      </c>
      <c r="J22" s="169" t="s">
        <v>209</v>
      </c>
      <c r="K22" s="170" t="s">
        <v>210</v>
      </c>
      <c r="L22" s="170" t="s">
        <v>211</v>
      </c>
      <c r="M22" s="171" t="s">
        <v>212</v>
      </c>
      <c r="N22" s="169" t="s">
        <v>213</v>
      </c>
      <c r="O22" s="170" t="s">
        <v>214</v>
      </c>
      <c r="P22" s="170" t="s">
        <v>215</v>
      </c>
      <c r="Q22" s="171" t="s">
        <v>210</v>
      </c>
      <c r="R22" s="169">
        <v>1274</v>
      </c>
      <c r="S22" s="170">
        <v>645</v>
      </c>
      <c r="T22" s="170">
        <v>1203</v>
      </c>
      <c r="U22" s="171">
        <v>1183</v>
      </c>
      <c r="V22" s="169">
        <v>1858</v>
      </c>
      <c r="W22" s="170">
        <v>2194</v>
      </c>
      <c r="X22" s="170">
        <v>2182</v>
      </c>
      <c r="Y22" s="171">
        <v>1862</v>
      </c>
      <c r="Z22" s="200">
        <v>3283</v>
      </c>
      <c r="AA22" s="200">
        <v>2984</v>
      </c>
      <c r="AB22" s="200">
        <v>2493</v>
      </c>
      <c r="AC22" s="296">
        <f>2615+111</f>
        <v>2726</v>
      </c>
      <c r="AD22" s="200">
        <v>3537</v>
      </c>
      <c r="AE22" s="716">
        <v>3663</v>
      </c>
      <c r="AF22" s="200"/>
      <c r="AG22" s="296"/>
      <c r="AH22" s="729"/>
    </row>
    <row r="23" spans="1:34" s="155" customFormat="1" ht="16.7" customHeight="1" x14ac:dyDescent="0.2">
      <c r="A23" s="176" t="s">
        <v>216</v>
      </c>
      <c r="B23" s="169" t="s">
        <v>181</v>
      </c>
      <c r="C23" s="170" t="s">
        <v>181</v>
      </c>
      <c r="D23" s="170" t="s">
        <v>181</v>
      </c>
      <c r="E23" s="171" t="s">
        <v>181</v>
      </c>
      <c r="F23" s="169" t="s">
        <v>181</v>
      </c>
      <c r="G23" s="170" t="s">
        <v>181</v>
      </c>
      <c r="H23" s="170" t="s">
        <v>181</v>
      </c>
      <c r="I23" s="171" t="s">
        <v>181</v>
      </c>
      <c r="J23" s="169" t="s">
        <v>181</v>
      </c>
      <c r="K23" s="170" t="s">
        <v>181</v>
      </c>
      <c r="L23" s="170" t="s">
        <v>181</v>
      </c>
      <c r="M23" s="171" t="s">
        <v>181</v>
      </c>
      <c r="N23" s="169" t="s">
        <v>181</v>
      </c>
      <c r="O23" s="170" t="s">
        <v>181</v>
      </c>
      <c r="P23" s="170" t="s">
        <v>181</v>
      </c>
      <c r="Q23" s="171" t="s">
        <v>181</v>
      </c>
      <c r="R23" s="169"/>
      <c r="S23" s="170">
        <v>264</v>
      </c>
      <c r="T23" s="170"/>
      <c r="U23" s="171">
        <v>166</v>
      </c>
      <c r="V23" s="169">
        <v>120</v>
      </c>
      <c r="W23" s="170">
        <v>88</v>
      </c>
      <c r="X23" s="170">
        <v>14</v>
      </c>
      <c r="Y23" s="171">
        <v>143</v>
      </c>
      <c r="Z23" s="200" t="s">
        <v>181</v>
      </c>
      <c r="AA23" s="200" t="s">
        <v>181</v>
      </c>
      <c r="AB23" s="200" t="s">
        <v>181</v>
      </c>
      <c r="AC23" s="296" t="s">
        <v>181</v>
      </c>
      <c r="AD23" s="200" t="s">
        <v>181</v>
      </c>
      <c r="AE23" s="716" t="s">
        <v>181</v>
      </c>
      <c r="AF23" s="200" t="s">
        <v>181</v>
      </c>
      <c r="AG23" s="296" t="s">
        <v>181</v>
      </c>
    </row>
    <row r="24" spans="1:34" s="160" customFormat="1" ht="16.7" customHeight="1" x14ac:dyDescent="0.2">
      <c r="A24" s="177" t="s">
        <v>250</v>
      </c>
      <c r="B24" s="178" t="s">
        <v>181</v>
      </c>
      <c r="C24" s="179" t="s">
        <v>181</v>
      </c>
      <c r="D24" s="179" t="s">
        <v>181</v>
      </c>
      <c r="E24" s="180" t="s">
        <v>181</v>
      </c>
      <c r="F24" s="178" t="s">
        <v>181</v>
      </c>
      <c r="G24" s="179" t="s">
        <v>181</v>
      </c>
      <c r="H24" s="179" t="s">
        <v>181</v>
      </c>
      <c r="I24" s="180" t="s">
        <v>181</v>
      </c>
      <c r="J24" s="178" t="s">
        <v>181</v>
      </c>
      <c r="K24" s="179" t="s">
        <v>181</v>
      </c>
      <c r="L24" s="179" t="s">
        <v>181</v>
      </c>
      <c r="M24" s="180" t="s">
        <v>181</v>
      </c>
      <c r="N24" s="178" t="s">
        <v>181</v>
      </c>
      <c r="O24" s="179" t="s">
        <v>181</v>
      </c>
      <c r="P24" s="179" t="s">
        <v>181</v>
      </c>
      <c r="Q24" s="180" t="s">
        <v>181</v>
      </c>
      <c r="R24" s="178" t="s">
        <v>181</v>
      </c>
      <c r="S24" s="179" t="s">
        <v>181</v>
      </c>
      <c r="T24" s="179" t="s">
        <v>181</v>
      </c>
      <c r="U24" s="180" t="s">
        <v>181</v>
      </c>
      <c r="V24" s="178" t="s">
        <v>181</v>
      </c>
      <c r="W24" s="179" t="s">
        <v>181</v>
      </c>
      <c r="X24" s="179" t="s">
        <v>181</v>
      </c>
      <c r="Y24" s="180" t="s">
        <v>181</v>
      </c>
      <c r="Z24" s="203">
        <v>-868</v>
      </c>
      <c r="AA24" s="203">
        <v>525</v>
      </c>
      <c r="AB24" s="203">
        <v>64</v>
      </c>
      <c r="AC24" s="298">
        <v>459</v>
      </c>
      <c r="AD24" s="203" t="s">
        <v>181</v>
      </c>
      <c r="AE24" s="717" t="s">
        <v>181</v>
      </c>
      <c r="AF24" s="203" t="s">
        <v>181</v>
      </c>
      <c r="AG24" s="298" t="s">
        <v>181</v>
      </c>
    </row>
    <row r="25" spans="1:34" s="160" customFormat="1" ht="5.25" customHeight="1" x14ac:dyDescent="0.2">
      <c r="A25" s="181"/>
      <c r="B25" s="182"/>
      <c r="C25" s="182"/>
      <c r="D25" s="182"/>
      <c r="E25" s="182"/>
      <c r="F25" s="182"/>
      <c r="G25" s="182"/>
      <c r="H25" s="182"/>
      <c r="I25" s="182"/>
      <c r="J25" s="182"/>
      <c r="K25" s="182"/>
      <c r="L25" s="182"/>
      <c r="M25" s="182"/>
      <c r="N25" s="182"/>
      <c r="O25" s="182"/>
      <c r="P25" s="182"/>
      <c r="Q25" s="182"/>
      <c r="R25" s="182"/>
      <c r="S25" s="182"/>
      <c r="T25" s="182"/>
      <c r="U25" s="182"/>
      <c r="V25" s="182"/>
      <c r="W25" s="182"/>
      <c r="X25" s="182"/>
      <c r="Y25" s="182"/>
      <c r="Z25" s="183"/>
      <c r="AA25" s="183"/>
      <c r="AB25" s="183"/>
      <c r="AC25" s="183"/>
      <c r="AD25" s="183"/>
      <c r="AE25" s="183"/>
      <c r="AF25" s="183"/>
      <c r="AG25" s="183"/>
    </row>
    <row r="26" spans="1:34" s="155" customFormat="1" ht="16.7" customHeight="1" x14ac:dyDescent="0.2">
      <c r="A26" s="184" t="s">
        <v>217</v>
      </c>
      <c r="B26" s="185" t="s">
        <v>4</v>
      </c>
      <c r="C26" s="981" t="s">
        <v>513</v>
      </c>
      <c r="D26" s="981"/>
      <c r="E26" s="981"/>
      <c r="F26" s="981"/>
      <c r="G26" s="981"/>
      <c r="H26" s="981"/>
      <c r="I26" s="981"/>
      <c r="J26" s="981"/>
      <c r="K26" s="981"/>
      <c r="L26" s="981"/>
      <c r="M26" s="981"/>
      <c r="N26" s="981"/>
      <c r="O26" s="981"/>
      <c r="P26" s="981"/>
      <c r="Q26" s="981"/>
      <c r="R26" s="981"/>
      <c r="S26" s="981"/>
      <c r="T26" s="981"/>
      <c r="U26" s="981"/>
      <c r="V26" s="981"/>
      <c r="W26" s="981"/>
      <c r="X26" s="981"/>
      <c r="Y26" s="981"/>
      <c r="Z26" s="981"/>
      <c r="AA26" s="981"/>
      <c r="AB26" s="981"/>
      <c r="AC26" s="981"/>
      <c r="AD26" s="982"/>
      <c r="AE26" s="982"/>
      <c r="AF26" s="982"/>
      <c r="AG26" s="983"/>
    </row>
    <row r="27" spans="1:34" s="155" customFormat="1" ht="15" x14ac:dyDescent="0.2">
      <c r="A27" s="941" t="s">
        <v>218</v>
      </c>
      <c r="B27" s="186">
        <v>1997</v>
      </c>
      <c r="C27" s="948" t="s">
        <v>219</v>
      </c>
      <c r="D27" s="949"/>
      <c r="E27" s="949"/>
      <c r="F27" s="949"/>
      <c r="G27" s="949"/>
      <c r="H27" s="949"/>
      <c r="I27" s="949"/>
      <c r="J27" s="949"/>
      <c r="K27" s="949"/>
      <c r="L27" s="949"/>
      <c r="M27" s="949"/>
      <c r="N27" s="949"/>
      <c r="O27" s="949"/>
      <c r="P27" s="949"/>
      <c r="Q27" s="949"/>
      <c r="R27" s="949"/>
      <c r="S27" s="949"/>
      <c r="T27" s="949"/>
      <c r="U27" s="949"/>
      <c r="V27" s="949"/>
      <c r="W27" s="949"/>
      <c r="X27" s="949"/>
      <c r="Y27" s="949"/>
      <c r="Z27" s="949"/>
      <c r="AA27" s="949"/>
      <c r="AB27" s="949"/>
      <c r="AC27" s="949"/>
      <c r="AD27" s="950"/>
      <c r="AE27" s="950"/>
      <c r="AF27" s="950"/>
      <c r="AG27" s="951"/>
    </row>
    <row r="28" spans="1:34" s="155" customFormat="1" ht="15" x14ac:dyDescent="0.2">
      <c r="A28" s="943"/>
      <c r="B28" s="187">
        <v>1998</v>
      </c>
      <c r="C28" s="962" t="s">
        <v>220</v>
      </c>
      <c r="D28" s="963"/>
      <c r="E28" s="963"/>
      <c r="F28" s="963"/>
      <c r="G28" s="963"/>
      <c r="H28" s="963"/>
      <c r="I28" s="963"/>
      <c r="J28" s="963"/>
      <c r="K28" s="963"/>
      <c r="L28" s="963"/>
      <c r="M28" s="963"/>
      <c r="N28" s="963"/>
      <c r="O28" s="963"/>
      <c r="P28" s="963"/>
      <c r="Q28" s="963"/>
      <c r="R28" s="963"/>
      <c r="S28" s="963"/>
      <c r="T28" s="963"/>
      <c r="U28" s="963"/>
      <c r="V28" s="963"/>
      <c r="W28" s="963"/>
      <c r="X28" s="963"/>
      <c r="Y28" s="963"/>
      <c r="Z28" s="963"/>
      <c r="AA28" s="963"/>
      <c r="AB28" s="963"/>
      <c r="AC28" s="963"/>
      <c r="AD28" s="954"/>
      <c r="AE28" s="954"/>
      <c r="AF28" s="954"/>
      <c r="AG28" s="955"/>
    </row>
    <row r="29" spans="1:34" s="155" customFormat="1" ht="15" x14ac:dyDescent="0.2">
      <c r="A29" s="943"/>
      <c r="B29" s="187">
        <v>1999</v>
      </c>
      <c r="C29" s="962" t="s">
        <v>221</v>
      </c>
      <c r="D29" s="963"/>
      <c r="E29" s="963"/>
      <c r="F29" s="963"/>
      <c r="G29" s="963"/>
      <c r="H29" s="963"/>
      <c r="I29" s="963"/>
      <c r="J29" s="963"/>
      <c r="K29" s="963"/>
      <c r="L29" s="963"/>
      <c r="M29" s="963"/>
      <c r="N29" s="963"/>
      <c r="O29" s="963"/>
      <c r="P29" s="963"/>
      <c r="Q29" s="963"/>
      <c r="R29" s="963"/>
      <c r="S29" s="963"/>
      <c r="T29" s="963"/>
      <c r="U29" s="963"/>
      <c r="V29" s="963"/>
      <c r="W29" s="963"/>
      <c r="X29" s="963"/>
      <c r="Y29" s="963"/>
      <c r="Z29" s="963"/>
      <c r="AA29" s="963"/>
      <c r="AB29" s="963"/>
      <c r="AC29" s="963"/>
      <c r="AD29" s="954"/>
      <c r="AE29" s="954"/>
      <c r="AF29" s="954"/>
      <c r="AG29" s="955"/>
    </row>
    <row r="30" spans="1:34" s="155" customFormat="1" ht="15" x14ac:dyDescent="0.2">
      <c r="A30" s="944"/>
      <c r="B30" s="188">
        <v>2000</v>
      </c>
      <c r="C30" s="956" t="s">
        <v>222</v>
      </c>
      <c r="D30" s="957"/>
      <c r="E30" s="957"/>
      <c r="F30" s="957"/>
      <c r="G30" s="957"/>
      <c r="H30" s="957"/>
      <c r="I30" s="957"/>
      <c r="J30" s="957"/>
      <c r="K30" s="957"/>
      <c r="L30" s="957"/>
      <c r="M30" s="957"/>
      <c r="N30" s="957"/>
      <c r="O30" s="957"/>
      <c r="P30" s="957"/>
      <c r="Q30" s="957"/>
      <c r="R30" s="957"/>
      <c r="S30" s="957"/>
      <c r="T30" s="957"/>
      <c r="U30" s="957"/>
      <c r="V30" s="957"/>
      <c r="W30" s="957"/>
      <c r="X30" s="957"/>
      <c r="Y30" s="957"/>
      <c r="Z30" s="957"/>
      <c r="AA30" s="957"/>
      <c r="AB30" s="957"/>
      <c r="AC30" s="957"/>
      <c r="AD30" s="958"/>
      <c r="AE30" s="958"/>
      <c r="AF30" s="958"/>
      <c r="AG30" s="959"/>
    </row>
    <row r="31" spans="1:34" s="155" customFormat="1" ht="15" customHeight="1" x14ac:dyDescent="0.2">
      <c r="A31" s="941" t="s">
        <v>223</v>
      </c>
      <c r="B31" s="186">
        <v>2001</v>
      </c>
      <c r="C31" s="948" t="s">
        <v>224</v>
      </c>
      <c r="D31" s="949"/>
      <c r="E31" s="949"/>
      <c r="F31" s="949"/>
      <c r="G31" s="949"/>
      <c r="H31" s="949"/>
      <c r="I31" s="949"/>
      <c r="J31" s="949"/>
      <c r="K31" s="949"/>
      <c r="L31" s="949"/>
      <c r="M31" s="949"/>
      <c r="N31" s="949"/>
      <c r="O31" s="949"/>
      <c r="P31" s="949"/>
      <c r="Q31" s="949"/>
      <c r="R31" s="949"/>
      <c r="S31" s="949"/>
      <c r="T31" s="949"/>
      <c r="U31" s="949"/>
      <c r="V31" s="949"/>
      <c r="W31" s="949"/>
      <c r="X31" s="949"/>
      <c r="Y31" s="949"/>
      <c r="Z31" s="949"/>
      <c r="AA31" s="949"/>
      <c r="AB31" s="949"/>
      <c r="AC31" s="949"/>
      <c r="AD31" s="950"/>
      <c r="AE31" s="950"/>
      <c r="AF31" s="950"/>
      <c r="AG31" s="951"/>
    </row>
    <row r="32" spans="1:34" s="155" customFormat="1" ht="15" customHeight="1" x14ac:dyDescent="0.2">
      <c r="A32" s="943"/>
      <c r="B32" s="189">
        <v>2002</v>
      </c>
      <c r="C32" s="952" t="s">
        <v>225</v>
      </c>
      <c r="D32" s="953"/>
      <c r="E32" s="953"/>
      <c r="F32" s="953"/>
      <c r="G32" s="953"/>
      <c r="H32" s="953"/>
      <c r="I32" s="953"/>
      <c r="J32" s="953"/>
      <c r="K32" s="953"/>
      <c r="L32" s="953"/>
      <c r="M32" s="953"/>
      <c r="N32" s="953"/>
      <c r="O32" s="953"/>
      <c r="P32" s="953"/>
      <c r="Q32" s="953"/>
      <c r="R32" s="953"/>
      <c r="S32" s="953"/>
      <c r="T32" s="953"/>
      <c r="U32" s="953"/>
      <c r="V32" s="953"/>
      <c r="W32" s="953"/>
      <c r="X32" s="953"/>
      <c r="Y32" s="953"/>
      <c r="Z32" s="953"/>
      <c r="AA32" s="953"/>
      <c r="AB32" s="953"/>
      <c r="AC32" s="953"/>
      <c r="AD32" s="954"/>
      <c r="AE32" s="954"/>
      <c r="AF32" s="954"/>
      <c r="AG32" s="955"/>
    </row>
    <row r="33" spans="1:33" s="155" customFormat="1" ht="15" customHeight="1" x14ac:dyDescent="0.2">
      <c r="A33" s="943"/>
      <c r="B33" s="189">
        <v>2003</v>
      </c>
      <c r="C33" s="952" t="s">
        <v>226</v>
      </c>
      <c r="D33" s="953"/>
      <c r="E33" s="953"/>
      <c r="F33" s="953"/>
      <c r="G33" s="953"/>
      <c r="H33" s="953"/>
      <c r="I33" s="953"/>
      <c r="J33" s="953"/>
      <c r="K33" s="953"/>
      <c r="L33" s="953"/>
      <c r="M33" s="953"/>
      <c r="N33" s="953"/>
      <c r="O33" s="953"/>
      <c r="P33" s="953"/>
      <c r="Q33" s="953"/>
      <c r="R33" s="953"/>
      <c r="S33" s="953"/>
      <c r="T33" s="953"/>
      <c r="U33" s="953"/>
      <c r="V33" s="953"/>
      <c r="W33" s="953"/>
      <c r="X33" s="953"/>
      <c r="Y33" s="953"/>
      <c r="Z33" s="953"/>
      <c r="AA33" s="953"/>
      <c r="AB33" s="953"/>
      <c r="AC33" s="953"/>
      <c r="AD33" s="954"/>
      <c r="AE33" s="954"/>
      <c r="AF33" s="954"/>
      <c r="AG33" s="955"/>
    </row>
    <row r="34" spans="1:33" s="155" customFormat="1" ht="15" customHeight="1" x14ac:dyDescent="0.2">
      <c r="A34" s="944"/>
      <c r="B34" s="188">
        <v>2004</v>
      </c>
      <c r="C34" s="956" t="s">
        <v>227</v>
      </c>
      <c r="D34" s="957"/>
      <c r="E34" s="957"/>
      <c r="F34" s="957"/>
      <c r="G34" s="957"/>
      <c r="H34" s="957"/>
      <c r="I34" s="957"/>
      <c r="J34" s="957"/>
      <c r="K34" s="957"/>
      <c r="L34" s="957"/>
      <c r="M34" s="957"/>
      <c r="N34" s="957"/>
      <c r="O34" s="957"/>
      <c r="P34" s="957"/>
      <c r="Q34" s="957"/>
      <c r="R34" s="957"/>
      <c r="S34" s="957"/>
      <c r="T34" s="957"/>
      <c r="U34" s="957"/>
      <c r="V34" s="957"/>
      <c r="W34" s="957"/>
      <c r="X34" s="957"/>
      <c r="Y34" s="957"/>
      <c r="Z34" s="957"/>
      <c r="AA34" s="957"/>
      <c r="AB34" s="957"/>
      <c r="AC34" s="957"/>
      <c r="AD34" s="958"/>
      <c r="AE34" s="958"/>
      <c r="AF34" s="958"/>
      <c r="AG34" s="959"/>
    </row>
    <row r="35" spans="1:33" s="155" customFormat="1" ht="15" customHeight="1" x14ac:dyDescent="0.2">
      <c r="A35" s="941" t="s">
        <v>228</v>
      </c>
      <c r="B35" s="190">
        <v>2005</v>
      </c>
      <c r="C35" s="960" t="s">
        <v>229</v>
      </c>
      <c r="D35" s="961"/>
      <c r="E35" s="961"/>
      <c r="F35" s="961"/>
      <c r="G35" s="961"/>
      <c r="H35" s="961"/>
      <c r="I35" s="961"/>
      <c r="J35" s="961"/>
      <c r="K35" s="961"/>
      <c r="L35" s="961"/>
      <c r="M35" s="961"/>
      <c r="N35" s="961"/>
      <c r="O35" s="961"/>
      <c r="P35" s="961"/>
      <c r="Q35" s="961"/>
      <c r="R35" s="961"/>
      <c r="S35" s="961"/>
      <c r="T35" s="961"/>
      <c r="U35" s="961"/>
      <c r="V35" s="961"/>
      <c r="W35" s="961"/>
      <c r="X35" s="961"/>
      <c r="Y35" s="961"/>
      <c r="Z35" s="961"/>
      <c r="AA35" s="961"/>
      <c r="AB35" s="961"/>
      <c r="AC35" s="961"/>
      <c r="AD35" s="950"/>
      <c r="AE35" s="950"/>
      <c r="AF35" s="950"/>
      <c r="AG35" s="951"/>
    </row>
    <row r="36" spans="1:33" s="155" customFormat="1" ht="15" x14ac:dyDescent="0.2">
      <c r="A36" s="943"/>
      <c r="B36" s="187">
        <v>2006</v>
      </c>
      <c r="C36" s="962" t="s">
        <v>230</v>
      </c>
      <c r="D36" s="963"/>
      <c r="E36" s="963"/>
      <c r="F36" s="963"/>
      <c r="G36" s="963"/>
      <c r="H36" s="963"/>
      <c r="I36" s="963"/>
      <c r="J36" s="963"/>
      <c r="K36" s="963"/>
      <c r="L36" s="963"/>
      <c r="M36" s="963"/>
      <c r="N36" s="963"/>
      <c r="O36" s="963"/>
      <c r="P36" s="963"/>
      <c r="Q36" s="963"/>
      <c r="R36" s="963"/>
      <c r="S36" s="963"/>
      <c r="T36" s="963"/>
      <c r="U36" s="963"/>
      <c r="V36" s="963"/>
      <c r="W36" s="963"/>
      <c r="X36" s="963"/>
      <c r="Y36" s="963"/>
      <c r="Z36" s="963"/>
      <c r="AA36" s="963"/>
      <c r="AB36" s="963"/>
      <c r="AC36" s="963"/>
      <c r="AD36" s="954"/>
      <c r="AE36" s="954"/>
      <c r="AF36" s="954"/>
      <c r="AG36" s="955"/>
    </row>
    <row r="37" spans="1:33" s="155" customFormat="1" ht="15" x14ac:dyDescent="0.2">
      <c r="A37" s="943"/>
      <c r="B37" s="189">
        <v>2007</v>
      </c>
      <c r="C37" s="952" t="s">
        <v>231</v>
      </c>
      <c r="D37" s="953"/>
      <c r="E37" s="953"/>
      <c r="F37" s="953"/>
      <c r="G37" s="953"/>
      <c r="H37" s="953"/>
      <c r="I37" s="953"/>
      <c r="J37" s="953"/>
      <c r="K37" s="953"/>
      <c r="L37" s="953"/>
      <c r="M37" s="953"/>
      <c r="N37" s="953"/>
      <c r="O37" s="953"/>
      <c r="P37" s="953"/>
      <c r="Q37" s="953"/>
      <c r="R37" s="953"/>
      <c r="S37" s="953"/>
      <c r="T37" s="953"/>
      <c r="U37" s="953"/>
      <c r="V37" s="953"/>
      <c r="W37" s="953"/>
      <c r="X37" s="953"/>
      <c r="Y37" s="953"/>
      <c r="Z37" s="953"/>
      <c r="AA37" s="953"/>
      <c r="AB37" s="953"/>
      <c r="AC37" s="953"/>
      <c r="AD37" s="954"/>
      <c r="AE37" s="954"/>
      <c r="AF37" s="954"/>
      <c r="AG37" s="955"/>
    </row>
    <row r="38" spans="1:33" s="155" customFormat="1" ht="15" x14ac:dyDescent="0.2">
      <c r="A38" s="944"/>
      <c r="B38" s="191">
        <v>2008</v>
      </c>
      <c r="C38" s="964" t="s">
        <v>232</v>
      </c>
      <c r="D38" s="965"/>
      <c r="E38" s="965"/>
      <c r="F38" s="965"/>
      <c r="G38" s="965"/>
      <c r="H38" s="965"/>
      <c r="I38" s="965"/>
      <c r="J38" s="965"/>
      <c r="K38" s="965"/>
      <c r="L38" s="965"/>
      <c r="M38" s="965"/>
      <c r="N38" s="965"/>
      <c r="O38" s="965"/>
      <c r="P38" s="965"/>
      <c r="Q38" s="965"/>
      <c r="R38" s="965"/>
      <c r="S38" s="965"/>
      <c r="T38" s="965"/>
      <c r="U38" s="965"/>
      <c r="V38" s="965"/>
      <c r="W38" s="965"/>
      <c r="X38" s="965"/>
      <c r="Y38" s="965"/>
      <c r="Z38" s="965"/>
      <c r="AA38" s="965"/>
      <c r="AB38" s="965"/>
      <c r="AC38" s="965"/>
      <c r="AD38" s="958"/>
      <c r="AE38" s="958"/>
      <c r="AF38" s="958"/>
      <c r="AG38" s="959"/>
    </row>
    <row r="39" spans="1:33" s="155" customFormat="1" ht="15" customHeight="1" x14ac:dyDescent="0.2">
      <c r="A39" s="941" t="s">
        <v>233</v>
      </c>
      <c r="B39" s="186">
        <v>2009</v>
      </c>
      <c r="C39" s="948" t="s">
        <v>234</v>
      </c>
      <c r="D39" s="949"/>
      <c r="E39" s="949"/>
      <c r="F39" s="949"/>
      <c r="G39" s="949"/>
      <c r="H39" s="949"/>
      <c r="I39" s="949"/>
      <c r="J39" s="949"/>
      <c r="K39" s="949"/>
      <c r="L39" s="949"/>
      <c r="M39" s="949"/>
      <c r="N39" s="949"/>
      <c r="O39" s="949"/>
      <c r="P39" s="949"/>
      <c r="Q39" s="949"/>
      <c r="R39" s="949"/>
      <c r="S39" s="949"/>
      <c r="T39" s="949"/>
      <c r="U39" s="949"/>
      <c r="V39" s="949"/>
      <c r="W39" s="949"/>
      <c r="X39" s="949"/>
      <c r="Y39" s="949"/>
      <c r="Z39" s="949"/>
      <c r="AA39" s="949"/>
      <c r="AB39" s="949"/>
      <c r="AC39" s="949"/>
      <c r="AD39" s="950"/>
      <c r="AE39" s="950"/>
      <c r="AF39" s="950"/>
      <c r="AG39" s="951"/>
    </row>
    <row r="40" spans="1:33" s="155" customFormat="1" ht="15" customHeight="1" x14ac:dyDescent="0.2">
      <c r="A40" s="943"/>
      <c r="B40" s="189">
        <v>2010</v>
      </c>
      <c r="C40" s="952" t="s">
        <v>235</v>
      </c>
      <c r="D40" s="953"/>
      <c r="E40" s="953"/>
      <c r="F40" s="953"/>
      <c r="G40" s="953"/>
      <c r="H40" s="953"/>
      <c r="I40" s="953"/>
      <c r="J40" s="953"/>
      <c r="K40" s="953"/>
      <c r="L40" s="953"/>
      <c r="M40" s="953"/>
      <c r="N40" s="953"/>
      <c r="O40" s="953"/>
      <c r="P40" s="953"/>
      <c r="Q40" s="953"/>
      <c r="R40" s="953"/>
      <c r="S40" s="953"/>
      <c r="T40" s="953"/>
      <c r="U40" s="953"/>
      <c r="V40" s="953"/>
      <c r="W40" s="953"/>
      <c r="X40" s="953"/>
      <c r="Y40" s="953"/>
      <c r="Z40" s="953"/>
      <c r="AA40" s="953"/>
      <c r="AB40" s="953"/>
      <c r="AC40" s="953"/>
      <c r="AD40" s="954"/>
      <c r="AE40" s="954"/>
      <c r="AF40" s="954"/>
      <c r="AG40" s="955"/>
    </row>
    <row r="41" spans="1:33" s="155" customFormat="1" ht="15" customHeight="1" x14ac:dyDescent="0.2">
      <c r="A41" s="943"/>
      <c r="B41" s="189">
        <v>2011</v>
      </c>
      <c r="C41" s="952" t="s">
        <v>236</v>
      </c>
      <c r="D41" s="953"/>
      <c r="E41" s="953"/>
      <c r="F41" s="953"/>
      <c r="G41" s="953"/>
      <c r="H41" s="953"/>
      <c r="I41" s="953"/>
      <c r="J41" s="953"/>
      <c r="K41" s="953"/>
      <c r="L41" s="953"/>
      <c r="M41" s="953"/>
      <c r="N41" s="953"/>
      <c r="O41" s="953"/>
      <c r="P41" s="953"/>
      <c r="Q41" s="953"/>
      <c r="R41" s="953"/>
      <c r="S41" s="953"/>
      <c r="T41" s="953"/>
      <c r="U41" s="953"/>
      <c r="V41" s="953"/>
      <c r="W41" s="953"/>
      <c r="X41" s="953"/>
      <c r="Y41" s="953"/>
      <c r="Z41" s="953"/>
      <c r="AA41" s="953"/>
      <c r="AB41" s="953"/>
      <c r="AC41" s="953"/>
      <c r="AD41" s="954"/>
      <c r="AE41" s="954"/>
      <c r="AF41" s="954"/>
      <c r="AG41" s="955"/>
    </row>
    <row r="42" spans="1:33" s="155" customFormat="1" ht="15" customHeight="1" x14ac:dyDescent="0.2">
      <c r="A42" s="944"/>
      <c r="B42" s="188">
        <v>2012</v>
      </c>
      <c r="C42" s="956" t="s">
        <v>237</v>
      </c>
      <c r="D42" s="957"/>
      <c r="E42" s="957"/>
      <c r="F42" s="957"/>
      <c r="G42" s="957"/>
      <c r="H42" s="957"/>
      <c r="I42" s="957"/>
      <c r="J42" s="957"/>
      <c r="K42" s="957"/>
      <c r="L42" s="957"/>
      <c r="M42" s="957"/>
      <c r="N42" s="957"/>
      <c r="O42" s="957"/>
      <c r="P42" s="957"/>
      <c r="Q42" s="957"/>
      <c r="R42" s="957"/>
      <c r="S42" s="957"/>
      <c r="T42" s="957"/>
      <c r="U42" s="957"/>
      <c r="V42" s="957"/>
      <c r="W42" s="957"/>
      <c r="X42" s="957"/>
      <c r="Y42" s="957"/>
      <c r="Z42" s="957"/>
      <c r="AA42" s="957"/>
      <c r="AB42" s="957"/>
      <c r="AC42" s="957"/>
      <c r="AD42" s="958"/>
      <c r="AE42" s="958"/>
      <c r="AF42" s="958"/>
      <c r="AG42" s="959"/>
    </row>
    <row r="43" spans="1:33" s="155" customFormat="1" ht="15" x14ac:dyDescent="0.2">
      <c r="A43" s="941" t="s">
        <v>238</v>
      </c>
      <c r="B43" s="190">
        <v>2013</v>
      </c>
      <c r="C43" s="960" t="s">
        <v>239</v>
      </c>
      <c r="D43" s="961"/>
      <c r="E43" s="961"/>
      <c r="F43" s="961"/>
      <c r="G43" s="961"/>
      <c r="H43" s="961"/>
      <c r="I43" s="961"/>
      <c r="J43" s="961"/>
      <c r="K43" s="961"/>
      <c r="L43" s="961"/>
      <c r="M43" s="961"/>
      <c r="N43" s="961"/>
      <c r="O43" s="961"/>
      <c r="P43" s="961"/>
      <c r="Q43" s="961"/>
      <c r="R43" s="961"/>
      <c r="S43" s="961"/>
      <c r="T43" s="961"/>
      <c r="U43" s="961"/>
      <c r="V43" s="961"/>
      <c r="W43" s="961"/>
      <c r="X43" s="961"/>
      <c r="Y43" s="961"/>
      <c r="Z43" s="961"/>
      <c r="AA43" s="961"/>
      <c r="AB43" s="961"/>
      <c r="AC43" s="961"/>
      <c r="AD43" s="950"/>
      <c r="AE43" s="950"/>
      <c r="AF43" s="950"/>
      <c r="AG43" s="951"/>
    </row>
    <row r="44" spans="1:33" s="155" customFormat="1" ht="15" x14ac:dyDescent="0.2">
      <c r="A44" s="943"/>
      <c r="B44" s="187">
        <v>2014</v>
      </c>
      <c r="C44" s="962" t="s">
        <v>240</v>
      </c>
      <c r="D44" s="962"/>
      <c r="E44" s="962"/>
      <c r="F44" s="962"/>
      <c r="G44" s="962"/>
      <c r="H44" s="962"/>
      <c r="I44" s="962"/>
      <c r="J44" s="962"/>
      <c r="K44" s="962"/>
      <c r="L44" s="962"/>
      <c r="M44" s="962"/>
      <c r="N44" s="962"/>
      <c r="O44" s="962"/>
      <c r="P44" s="962"/>
      <c r="Q44" s="962"/>
      <c r="R44" s="962"/>
      <c r="S44" s="962"/>
      <c r="T44" s="962"/>
      <c r="U44" s="962"/>
      <c r="V44" s="962"/>
      <c r="W44" s="962"/>
      <c r="X44" s="962"/>
      <c r="Y44" s="962"/>
      <c r="Z44" s="962"/>
      <c r="AA44" s="962"/>
      <c r="AB44" s="962"/>
      <c r="AC44" s="962"/>
      <c r="AD44" s="954"/>
      <c r="AE44" s="954"/>
      <c r="AF44" s="954"/>
      <c r="AG44" s="955"/>
    </row>
    <row r="45" spans="1:33" s="155" customFormat="1" ht="15" x14ac:dyDescent="0.2">
      <c r="A45" s="943"/>
      <c r="B45" s="187">
        <v>2015</v>
      </c>
      <c r="C45" s="962" t="s">
        <v>241</v>
      </c>
      <c r="D45" s="962"/>
      <c r="E45" s="962"/>
      <c r="F45" s="962"/>
      <c r="G45" s="962"/>
      <c r="H45" s="962"/>
      <c r="I45" s="962"/>
      <c r="J45" s="962"/>
      <c r="K45" s="962"/>
      <c r="L45" s="962"/>
      <c r="M45" s="962"/>
      <c r="N45" s="962"/>
      <c r="O45" s="962"/>
      <c r="P45" s="962"/>
      <c r="Q45" s="962"/>
      <c r="R45" s="962"/>
      <c r="S45" s="962"/>
      <c r="T45" s="962"/>
      <c r="U45" s="962"/>
      <c r="V45" s="962"/>
      <c r="W45" s="962"/>
      <c r="X45" s="962"/>
      <c r="Y45" s="962"/>
      <c r="Z45" s="962"/>
      <c r="AA45" s="962"/>
      <c r="AB45" s="962"/>
      <c r="AC45" s="962"/>
      <c r="AD45" s="954"/>
      <c r="AE45" s="954"/>
      <c r="AF45" s="954"/>
      <c r="AG45" s="955"/>
    </row>
    <row r="46" spans="1:33" s="155" customFormat="1" ht="15" x14ac:dyDescent="0.2">
      <c r="A46" s="944"/>
      <c r="B46" s="192">
        <v>2016</v>
      </c>
      <c r="C46" s="956" t="s">
        <v>242</v>
      </c>
      <c r="D46" s="957"/>
      <c r="E46" s="957"/>
      <c r="F46" s="957"/>
      <c r="G46" s="957"/>
      <c r="H46" s="957"/>
      <c r="I46" s="957"/>
      <c r="J46" s="957"/>
      <c r="K46" s="957"/>
      <c r="L46" s="957"/>
      <c r="M46" s="957"/>
      <c r="N46" s="957"/>
      <c r="O46" s="957"/>
      <c r="P46" s="957"/>
      <c r="Q46" s="957"/>
      <c r="R46" s="957"/>
      <c r="S46" s="957"/>
      <c r="T46" s="957"/>
      <c r="U46" s="957"/>
      <c r="V46" s="957"/>
      <c r="W46" s="957"/>
      <c r="X46" s="957"/>
      <c r="Y46" s="957"/>
      <c r="Z46" s="957"/>
      <c r="AA46" s="957"/>
      <c r="AB46" s="957"/>
      <c r="AC46" s="957"/>
      <c r="AD46" s="958"/>
      <c r="AE46" s="958"/>
      <c r="AF46" s="958"/>
      <c r="AG46" s="959"/>
    </row>
    <row r="47" spans="1:33" s="155" customFormat="1" ht="15" x14ac:dyDescent="0.2">
      <c r="A47" s="941" t="s">
        <v>243</v>
      </c>
      <c r="B47" s="190">
        <v>2017</v>
      </c>
      <c r="C47" s="960" t="s">
        <v>244</v>
      </c>
      <c r="D47" s="961"/>
      <c r="E47" s="961"/>
      <c r="F47" s="961"/>
      <c r="G47" s="961"/>
      <c r="H47" s="961"/>
      <c r="I47" s="961"/>
      <c r="J47" s="961"/>
      <c r="K47" s="961"/>
      <c r="L47" s="961"/>
      <c r="M47" s="961"/>
      <c r="N47" s="961"/>
      <c r="O47" s="961"/>
      <c r="P47" s="961"/>
      <c r="Q47" s="961"/>
      <c r="R47" s="961"/>
      <c r="S47" s="961"/>
      <c r="T47" s="961"/>
      <c r="U47" s="961"/>
      <c r="V47" s="961"/>
      <c r="W47" s="961"/>
      <c r="X47" s="961"/>
      <c r="Y47" s="961"/>
      <c r="Z47" s="961"/>
      <c r="AA47" s="961"/>
      <c r="AB47" s="961"/>
      <c r="AC47" s="961"/>
      <c r="AD47" s="950"/>
      <c r="AE47" s="950"/>
      <c r="AF47" s="950"/>
      <c r="AG47" s="951"/>
    </row>
    <row r="48" spans="1:33" s="155" customFormat="1" ht="15" x14ac:dyDescent="0.2">
      <c r="A48" s="942"/>
      <c r="B48" s="187">
        <v>2018</v>
      </c>
      <c r="C48" s="962" t="s">
        <v>245</v>
      </c>
      <c r="D48" s="972"/>
      <c r="E48" s="972"/>
      <c r="F48" s="972"/>
      <c r="G48" s="972"/>
      <c r="H48" s="972"/>
      <c r="I48" s="972"/>
      <c r="J48" s="972"/>
      <c r="K48" s="972"/>
      <c r="L48" s="972"/>
      <c r="M48" s="972"/>
      <c r="N48" s="972"/>
      <c r="O48" s="972"/>
      <c r="P48" s="972"/>
      <c r="Q48" s="972"/>
      <c r="R48" s="972"/>
      <c r="S48" s="972"/>
      <c r="T48" s="972"/>
      <c r="U48" s="972"/>
      <c r="V48" s="972"/>
      <c r="W48" s="972"/>
      <c r="X48" s="972"/>
      <c r="Y48" s="972"/>
      <c r="Z48" s="972"/>
      <c r="AA48" s="972"/>
      <c r="AB48" s="972"/>
      <c r="AC48" s="972"/>
      <c r="AD48" s="954"/>
      <c r="AE48" s="954"/>
      <c r="AF48" s="954"/>
      <c r="AG48" s="955"/>
    </row>
    <row r="49" spans="1:33" s="155" customFormat="1" ht="15" x14ac:dyDescent="0.2">
      <c r="A49" s="943"/>
      <c r="B49" s="187">
        <v>2019</v>
      </c>
      <c r="C49" s="962" t="s">
        <v>246</v>
      </c>
      <c r="D49" s="972"/>
      <c r="E49" s="972"/>
      <c r="F49" s="972"/>
      <c r="G49" s="972"/>
      <c r="H49" s="972"/>
      <c r="I49" s="972"/>
      <c r="J49" s="972"/>
      <c r="K49" s="972"/>
      <c r="L49" s="972"/>
      <c r="M49" s="972"/>
      <c r="N49" s="972"/>
      <c r="O49" s="972"/>
      <c r="P49" s="972"/>
      <c r="Q49" s="972"/>
      <c r="R49" s="972"/>
      <c r="S49" s="972"/>
      <c r="T49" s="972"/>
      <c r="U49" s="972"/>
      <c r="V49" s="972"/>
      <c r="W49" s="972"/>
      <c r="X49" s="972"/>
      <c r="Y49" s="972"/>
      <c r="Z49" s="972"/>
      <c r="AA49" s="972"/>
      <c r="AB49" s="972"/>
      <c r="AC49" s="972"/>
      <c r="AD49" s="954"/>
      <c r="AE49" s="954"/>
      <c r="AF49" s="954"/>
      <c r="AG49" s="955"/>
    </row>
    <row r="50" spans="1:33" s="155" customFormat="1" ht="15" x14ac:dyDescent="0.2">
      <c r="A50" s="944"/>
      <c r="B50" s="188">
        <v>2020</v>
      </c>
      <c r="C50" s="956" t="s">
        <v>426</v>
      </c>
      <c r="D50" s="984"/>
      <c r="E50" s="984"/>
      <c r="F50" s="984"/>
      <c r="G50" s="984"/>
      <c r="H50" s="984"/>
      <c r="I50" s="984"/>
      <c r="J50" s="984"/>
      <c r="K50" s="984"/>
      <c r="L50" s="984"/>
      <c r="M50" s="984"/>
      <c r="N50" s="984"/>
      <c r="O50" s="984"/>
      <c r="P50" s="984"/>
      <c r="Q50" s="984"/>
      <c r="R50" s="984"/>
      <c r="S50" s="984"/>
      <c r="T50" s="984"/>
      <c r="U50" s="984"/>
      <c r="V50" s="984"/>
      <c r="W50" s="984"/>
      <c r="X50" s="984"/>
      <c r="Y50" s="984"/>
      <c r="Z50" s="984"/>
      <c r="AA50" s="984"/>
      <c r="AB50" s="984"/>
      <c r="AC50" s="984"/>
      <c r="AD50" s="958"/>
      <c r="AE50" s="958"/>
      <c r="AF50" s="958"/>
      <c r="AG50" s="959"/>
    </row>
    <row r="51" spans="1:33" s="155" customFormat="1" ht="15" x14ac:dyDescent="0.2">
      <c r="A51" s="945" t="s">
        <v>247</v>
      </c>
      <c r="B51" s="190">
        <v>2021</v>
      </c>
      <c r="C51" s="960" t="s">
        <v>421</v>
      </c>
      <c r="D51" s="961"/>
      <c r="E51" s="961"/>
      <c r="F51" s="961"/>
      <c r="G51" s="961"/>
      <c r="H51" s="961"/>
      <c r="I51" s="961"/>
      <c r="J51" s="961"/>
      <c r="K51" s="961"/>
      <c r="L51" s="961"/>
      <c r="M51" s="961"/>
      <c r="N51" s="961"/>
      <c r="O51" s="961"/>
      <c r="P51" s="961"/>
      <c r="Q51" s="961"/>
      <c r="R51" s="961"/>
      <c r="S51" s="961"/>
      <c r="T51" s="961"/>
      <c r="U51" s="961"/>
      <c r="V51" s="961"/>
      <c r="W51" s="961"/>
      <c r="X51" s="961"/>
      <c r="Y51" s="961"/>
      <c r="Z51" s="961"/>
      <c r="AA51" s="961"/>
      <c r="AB51" s="961"/>
      <c r="AC51" s="961"/>
      <c r="AD51" s="950"/>
      <c r="AE51" s="950"/>
      <c r="AF51" s="950"/>
      <c r="AG51" s="951"/>
    </row>
    <row r="52" spans="1:33" s="155" customFormat="1" ht="15" x14ac:dyDescent="0.2">
      <c r="A52" s="946"/>
      <c r="B52" s="187">
        <v>2022</v>
      </c>
      <c r="C52" s="962" t="s">
        <v>422</v>
      </c>
      <c r="D52" s="972"/>
      <c r="E52" s="972"/>
      <c r="F52" s="972"/>
      <c r="G52" s="972"/>
      <c r="H52" s="972"/>
      <c r="I52" s="972"/>
      <c r="J52" s="972"/>
      <c r="K52" s="972"/>
      <c r="L52" s="972"/>
      <c r="M52" s="972"/>
      <c r="N52" s="972"/>
      <c r="O52" s="972"/>
      <c r="P52" s="972"/>
      <c r="Q52" s="972"/>
      <c r="R52" s="972"/>
      <c r="S52" s="972"/>
      <c r="T52" s="972"/>
      <c r="U52" s="972"/>
      <c r="V52" s="972"/>
      <c r="W52" s="972"/>
      <c r="X52" s="972"/>
      <c r="Y52" s="972"/>
      <c r="Z52" s="972"/>
      <c r="AA52" s="972"/>
      <c r="AB52" s="972"/>
      <c r="AC52" s="972"/>
      <c r="AD52" s="954"/>
      <c r="AE52" s="954"/>
      <c r="AF52" s="954"/>
      <c r="AG52" s="955"/>
    </row>
    <row r="53" spans="1:33" s="155" customFormat="1" ht="15" customHeight="1" x14ac:dyDescent="0.2">
      <c r="A53" s="946"/>
      <c r="B53" s="187">
        <v>2023</v>
      </c>
      <c r="C53" s="962" t="s">
        <v>423</v>
      </c>
      <c r="D53" s="972"/>
      <c r="E53" s="972"/>
      <c r="F53" s="972"/>
      <c r="G53" s="972"/>
      <c r="H53" s="972"/>
      <c r="I53" s="972"/>
      <c r="J53" s="972"/>
      <c r="K53" s="972"/>
      <c r="L53" s="972"/>
      <c r="M53" s="972"/>
      <c r="N53" s="972"/>
      <c r="O53" s="972"/>
      <c r="P53" s="972"/>
      <c r="Q53" s="972"/>
      <c r="R53" s="972"/>
      <c r="S53" s="972"/>
      <c r="T53" s="972"/>
      <c r="U53" s="972"/>
      <c r="V53" s="972"/>
      <c r="W53" s="972"/>
      <c r="X53" s="972"/>
      <c r="Y53" s="972"/>
      <c r="Z53" s="972"/>
      <c r="AA53" s="972"/>
      <c r="AB53" s="972"/>
      <c r="AC53" s="972"/>
      <c r="AD53" s="954"/>
      <c r="AE53" s="954"/>
      <c r="AF53" s="954"/>
      <c r="AG53" s="955"/>
    </row>
    <row r="54" spans="1:33" s="155" customFormat="1" ht="19.5" customHeight="1" x14ac:dyDescent="0.2">
      <c r="A54" s="947"/>
      <c r="B54" s="188">
        <v>2024</v>
      </c>
      <c r="C54" s="956" t="s">
        <v>433</v>
      </c>
      <c r="D54" s="984"/>
      <c r="E54" s="984"/>
      <c r="F54" s="984"/>
      <c r="G54" s="984"/>
      <c r="H54" s="984"/>
      <c r="I54" s="984"/>
      <c r="J54" s="984"/>
      <c r="K54" s="984"/>
      <c r="L54" s="984"/>
      <c r="M54" s="984"/>
      <c r="N54" s="984"/>
      <c r="O54" s="984"/>
      <c r="P54" s="984"/>
      <c r="Q54" s="984"/>
      <c r="R54" s="984"/>
      <c r="S54" s="984"/>
      <c r="T54" s="984"/>
      <c r="U54" s="984"/>
      <c r="V54" s="984"/>
      <c r="W54" s="984"/>
      <c r="X54" s="984"/>
      <c r="Y54" s="984"/>
      <c r="Z54" s="984"/>
      <c r="AA54" s="984"/>
      <c r="AB54" s="984"/>
      <c r="AC54" s="984"/>
      <c r="AD54" s="958"/>
      <c r="AE54" s="958"/>
      <c r="AF54" s="958"/>
      <c r="AG54" s="959"/>
    </row>
    <row r="55" spans="1:33" s="155" customFormat="1" ht="19.5" customHeight="1" x14ac:dyDescent="0.2">
      <c r="A55" s="969" t="s">
        <v>508</v>
      </c>
      <c r="B55" s="190">
        <v>2025</v>
      </c>
      <c r="C55" s="985" t="s">
        <v>507</v>
      </c>
      <c r="D55" s="986"/>
      <c r="E55" s="986"/>
      <c r="F55" s="986"/>
      <c r="G55" s="986"/>
      <c r="H55" s="986"/>
      <c r="I55" s="986"/>
      <c r="J55" s="986"/>
      <c r="K55" s="986"/>
      <c r="L55" s="986"/>
      <c r="M55" s="986"/>
      <c r="N55" s="986"/>
      <c r="O55" s="986"/>
      <c r="P55" s="986"/>
      <c r="Q55" s="986"/>
      <c r="R55" s="986"/>
      <c r="S55" s="986"/>
      <c r="T55" s="986"/>
      <c r="U55" s="986"/>
      <c r="V55" s="986"/>
      <c r="W55" s="986"/>
      <c r="X55" s="986"/>
      <c r="Y55" s="986"/>
      <c r="Z55" s="986"/>
      <c r="AA55" s="986"/>
      <c r="AB55" s="986"/>
      <c r="AC55" s="986"/>
      <c r="AD55" s="982"/>
      <c r="AE55" s="982"/>
      <c r="AF55" s="982"/>
      <c r="AG55" s="983"/>
    </row>
    <row r="56" spans="1:33" s="155" customFormat="1" ht="19.5" customHeight="1" x14ac:dyDescent="0.2">
      <c r="A56" s="970"/>
      <c r="B56" s="187">
        <v>2026</v>
      </c>
      <c r="C56" s="962" t="s">
        <v>519</v>
      </c>
      <c r="D56" s="972"/>
      <c r="E56" s="972"/>
      <c r="F56" s="972"/>
      <c r="G56" s="972"/>
      <c r="H56" s="972"/>
      <c r="I56" s="972"/>
      <c r="J56" s="972"/>
      <c r="K56" s="972"/>
      <c r="L56" s="972"/>
      <c r="M56" s="972"/>
      <c r="N56" s="972"/>
      <c r="O56" s="972"/>
      <c r="P56" s="972"/>
      <c r="Q56" s="972"/>
      <c r="R56" s="972"/>
      <c r="S56" s="972"/>
      <c r="T56" s="972"/>
      <c r="U56" s="972"/>
      <c r="V56" s="972"/>
      <c r="W56" s="972"/>
      <c r="X56" s="972"/>
      <c r="Y56" s="972"/>
      <c r="Z56" s="972"/>
      <c r="AA56" s="972"/>
      <c r="AB56" s="972"/>
      <c r="AC56" s="972"/>
      <c r="AD56" s="954"/>
      <c r="AE56" s="954"/>
      <c r="AF56" s="954"/>
      <c r="AG56" s="955"/>
    </row>
    <row r="57" spans="1:33" s="155" customFormat="1" ht="15" customHeight="1" x14ac:dyDescent="0.2">
      <c r="A57" s="970"/>
      <c r="B57" s="727">
        <v>2027</v>
      </c>
      <c r="C57" s="973"/>
      <c r="D57" s="974"/>
      <c r="E57" s="974"/>
      <c r="F57" s="974"/>
      <c r="G57" s="974"/>
      <c r="H57" s="974"/>
      <c r="I57" s="974"/>
      <c r="J57" s="974"/>
      <c r="K57" s="974"/>
      <c r="L57" s="974"/>
      <c r="M57" s="974"/>
      <c r="N57" s="974"/>
      <c r="O57" s="974"/>
      <c r="P57" s="974"/>
      <c r="Q57" s="974"/>
      <c r="R57" s="974"/>
      <c r="S57" s="974"/>
      <c r="T57" s="974"/>
      <c r="U57" s="974"/>
      <c r="V57" s="974"/>
      <c r="W57" s="974"/>
      <c r="X57" s="974"/>
      <c r="Y57" s="974"/>
      <c r="Z57" s="974"/>
      <c r="AA57" s="974"/>
      <c r="AB57" s="974"/>
      <c r="AC57" s="974"/>
      <c r="AD57" s="975"/>
      <c r="AE57" s="975"/>
      <c r="AF57" s="975"/>
      <c r="AG57" s="976"/>
    </row>
    <row r="58" spans="1:33" s="155" customFormat="1" ht="15" customHeight="1" x14ac:dyDescent="0.2">
      <c r="A58" s="971"/>
      <c r="B58" s="728">
        <v>2028</v>
      </c>
      <c r="C58" s="977"/>
      <c r="D58" s="978"/>
      <c r="E58" s="978"/>
      <c r="F58" s="978"/>
      <c r="G58" s="978"/>
      <c r="H58" s="978"/>
      <c r="I58" s="978"/>
      <c r="J58" s="978"/>
      <c r="K58" s="978"/>
      <c r="L58" s="978"/>
      <c r="M58" s="978"/>
      <c r="N58" s="978"/>
      <c r="O58" s="978"/>
      <c r="P58" s="978"/>
      <c r="Q58" s="978"/>
      <c r="R58" s="978"/>
      <c r="S58" s="978"/>
      <c r="T58" s="978"/>
      <c r="U58" s="978"/>
      <c r="V58" s="978"/>
      <c r="W58" s="978"/>
      <c r="X58" s="978"/>
      <c r="Y58" s="978"/>
      <c r="Z58" s="978"/>
      <c r="AA58" s="978"/>
      <c r="AB58" s="978"/>
      <c r="AC58" s="978"/>
      <c r="AD58" s="979"/>
      <c r="AE58" s="979"/>
      <c r="AF58" s="979"/>
      <c r="AG58" s="980"/>
    </row>
    <row r="59" spans="1:33" s="231" customFormat="1" ht="3.75" customHeight="1" x14ac:dyDescent="0.2">
      <c r="A59" s="228"/>
      <c r="B59" s="227"/>
      <c r="C59" s="229"/>
      <c r="D59" s="230"/>
      <c r="E59" s="230"/>
      <c r="F59" s="230"/>
      <c r="G59" s="230"/>
      <c r="H59" s="230"/>
      <c r="I59" s="230"/>
      <c r="J59" s="230"/>
      <c r="K59" s="230"/>
      <c r="L59" s="230"/>
      <c r="M59" s="230"/>
      <c r="N59" s="230"/>
      <c r="O59" s="230"/>
      <c r="P59" s="230"/>
      <c r="Q59" s="230"/>
      <c r="R59" s="230"/>
      <c r="S59" s="230"/>
      <c r="T59" s="230"/>
      <c r="U59" s="230"/>
      <c r="V59" s="230"/>
      <c r="W59" s="230"/>
      <c r="X59" s="230"/>
      <c r="Y59" s="230"/>
      <c r="Z59" s="230"/>
      <c r="AA59" s="230"/>
      <c r="AB59" s="230"/>
      <c r="AC59" s="230"/>
      <c r="AD59" s="230"/>
      <c r="AE59" s="230"/>
      <c r="AF59" s="230"/>
      <c r="AG59" s="230"/>
    </row>
    <row r="60" spans="1:33" s="193" customFormat="1" x14ac:dyDescent="0.2">
      <c r="A60" s="933" t="s">
        <v>518</v>
      </c>
      <c r="B60" s="934"/>
      <c r="C60" s="934"/>
      <c r="D60" s="934"/>
      <c r="E60" s="934"/>
      <c r="F60" s="934"/>
      <c r="G60" s="934"/>
      <c r="H60" s="934"/>
      <c r="I60" s="934"/>
      <c r="J60" s="934"/>
      <c r="K60" s="934"/>
      <c r="L60" s="934"/>
      <c r="M60" s="934"/>
      <c r="N60" s="934"/>
      <c r="O60" s="934"/>
      <c r="P60" s="934"/>
      <c r="Q60" s="934"/>
      <c r="R60" s="934"/>
      <c r="S60" s="934"/>
      <c r="T60" s="934"/>
      <c r="U60" s="934"/>
      <c r="V60" s="934"/>
      <c r="W60" s="934"/>
      <c r="X60" s="934"/>
      <c r="Y60" s="934"/>
      <c r="Z60" s="934"/>
      <c r="AA60" s="934"/>
      <c r="AB60" s="934"/>
      <c r="AC60" s="934"/>
      <c r="AD60" s="625"/>
      <c r="AE60" s="625"/>
      <c r="AF60" s="625"/>
      <c r="AG60" s="625"/>
    </row>
    <row r="61" spans="1:33" s="193" customFormat="1" x14ac:dyDescent="0.2">
      <c r="A61" s="933" t="s">
        <v>510</v>
      </c>
      <c r="B61" s="934"/>
      <c r="C61" s="934"/>
      <c r="D61" s="934"/>
      <c r="E61" s="934"/>
      <c r="F61" s="934"/>
      <c r="G61" s="934"/>
      <c r="H61" s="934"/>
      <c r="I61" s="934"/>
      <c r="J61" s="934"/>
      <c r="K61" s="934"/>
      <c r="L61" s="934"/>
      <c r="M61" s="934"/>
      <c r="N61" s="934"/>
      <c r="O61" s="934"/>
      <c r="P61" s="934"/>
      <c r="Q61" s="934"/>
      <c r="R61" s="934"/>
      <c r="S61" s="934"/>
      <c r="T61" s="934"/>
      <c r="U61" s="934"/>
      <c r="V61" s="934"/>
      <c r="W61" s="934"/>
      <c r="X61" s="934"/>
      <c r="Y61" s="934"/>
      <c r="Z61" s="934"/>
      <c r="AA61" s="934"/>
      <c r="AB61" s="934"/>
      <c r="AC61" s="934"/>
      <c r="AD61" s="625"/>
      <c r="AE61" s="625"/>
      <c r="AF61" s="625"/>
      <c r="AG61" s="625"/>
    </row>
    <row r="62" spans="1:33" s="193" customFormat="1" x14ac:dyDescent="0.2">
      <c r="A62" s="933" t="s">
        <v>512</v>
      </c>
      <c r="B62" s="934"/>
      <c r="C62" s="934"/>
      <c r="D62" s="934"/>
      <c r="E62" s="934"/>
      <c r="F62" s="934"/>
      <c r="G62" s="934"/>
      <c r="H62" s="934"/>
      <c r="I62" s="934"/>
      <c r="J62" s="934"/>
      <c r="K62" s="934"/>
      <c r="L62" s="934"/>
      <c r="M62" s="934"/>
      <c r="N62" s="934"/>
      <c r="O62" s="934"/>
      <c r="P62" s="934"/>
      <c r="Q62" s="934"/>
      <c r="R62" s="934"/>
      <c r="S62" s="934"/>
      <c r="T62" s="934"/>
      <c r="U62" s="934"/>
      <c r="V62" s="934"/>
      <c r="W62" s="934"/>
      <c r="X62" s="934"/>
      <c r="Y62" s="934"/>
      <c r="Z62" s="934"/>
      <c r="AA62" s="934"/>
      <c r="AB62" s="934"/>
      <c r="AC62" s="934"/>
      <c r="AD62" s="625"/>
      <c r="AE62" s="625"/>
      <c r="AF62" s="625"/>
      <c r="AG62" s="625"/>
    </row>
    <row r="63" spans="1:33" s="193" customFormat="1" ht="11.25" x14ac:dyDescent="0.15">
      <c r="A63" s="232" t="s">
        <v>514</v>
      </c>
      <c r="B63" s="726"/>
      <c r="C63" s="726"/>
      <c r="D63" s="726"/>
      <c r="E63" s="726"/>
      <c r="F63" s="726"/>
      <c r="G63" s="726"/>
      <c r="H63" s="726"/>
      <c r="I63" s="726"/>
      <c r="J63" s="726"/>
      <c r="K63" s="726"/>
      <c r="L63" s="726"/>
      <c r="M63" s="726"/>
      <c r="N63" s="726"/>
      <c r="O63" s="726"/>
      <c r="P63" s="726"/>
      <c r="Q63" s="726"/>
      <c r="R63" s="726"/>
      <c r="S63" s="726"/>
      <c r="T63" s="726"/>
      <c r="U63" s="726"/>
      <c r="V63" s="726"/>
      <c r="W63" s="726"/>
      <c r="X63" s="726"/>
      <c r="Y63" s="726"/>
      <c r="Z63" s="726"/>
      <c r="AA63" s="726"/>
      <c r="AB63" s="726"/>
      <c r="AC63" s="726"/>
      <c r="AD63" s="233"/>
      <c r="AE63" s="233"/>
      <c r="AF63" s="233"/>
      <c r="AG63" s="233"/>
    </row>
    <row r="64" spans="1:33" s="193" customFormat="1" x14ac:dyDescent="0.2">
      <c r="A64" s="933" t="s">
        <v>515</v>
      </c>
      <c r="B64" s="934"/>
      <c r="C64" s="934"/>
      <c r="D64" s="934"/>
      <c r="E64" s="934"/>
      <c r="F64" s="934"/>
      <c r="G64" s="934"/>
      <c r="H64" s="934"/>
      <c r="I64" s="934"/>
      <c r="J64" s="934"/>
      <c r="K64" s="934"/>
      <c r="L64" s="934"/>
      <c r="M64" s="934"/>
      <c r="N64" s="934"/>
      <c r="O64" s="934"/>
      <c r="P64" s="934"/>
      <c r="Q64" s="934"/>
      <c r="R64" s="934"/>
      <c r="S64" s="934"/>
      <c r="T64" s="934"/>
      <c r="U64" s="934"/>
      <c r="V64" s="934"/>
      <c r="W64" s="934"/>
      <c r="X64" s="934"/>
      <c r="Y64" s="934"/>
      <c r="Z64" s="934"/>
      <c r="AA64" s="934"/>
      <c r="AB64" s="934"/>
      <c r="AC64" s="934"/>
      <c r="AD64" s="625"/>
      <c r="AE64" s="625"/>
      <c r="AF64" s="625"/>
      <c r="AG64" s="625"/>
    </row>
    <row r="65" spans="1:33" s="193" customFormat="1" ht="9.75" x14ac:dyDescent="0.15">
      <c r="A65" s="194"/>
      <c r="B65" s="195"/>
      <c r="C65" s="195"/>
      <c r="D65" s="195"/>
      <c r="E65" s="195"/>
      <c r="F65" s="195"/>
      <c r="G65" s="195"/>
      <c r="H65" s="195"/>
      <c r="I65" s="195"/>
      <c r="J65" s="195"/>
      <c r="K65" s="195"/>
      <c r="L65" s="195"/>
      <c r="M65" s="195"/>
      <c r="N65" s="195"/>
      <c r="O65" s="195"/>
      <c r="P65" s="195"/>
      <c r="Q65" s="195"/>
      <c r="R65" s="195"/>
      <c r="S65" s="195"/>
      <c r="T65" s="195"/>
      <c r="U65" s="195"/>
      <c r="V65" s="195"/>
      <c r="W65" s="195"/>
      <c r="X65" s="195"/>
      <c r="Y65" s="195"/>
      <c r="Z65" s="195"/>
      <c r="AA65" s="195"/>
      <c r="AB65" s="195"/>
      <c r="AC65" s="195"/>
      <c r="AD65" s="195"/>
      <c r="AE65" s="195"/>
      <c r="AF65" s="195"/>
      <c r="AG65" s="195"/>
    </row>
  </sheetData>
  <protectedRanges>
    <protectedRange sqref="A4:AG8 B9:M9 R10:AC11 R13:AC13 B10:Q13 A14:AG23 AD24:AG24 B24:Y24 B25:Q59" name="Bereich1"/>
  </protectedRanges>
  <mergeCells count="55">
    <mergeCell ref="C51:AG51"/>
    <mergeCell ref="C52:AG52"/>
    <mergeCell ref="C53:AG53"/>
    <mergeCell ref="C54:AG54"/>
    <mergeCell ref="C55:AG55"/>
    <mergeCell ref="C46:AG46"/>
    <mergeCell ref="C47:AG47"/>
    <mergeCell ref="C48:AG48"/>
    <mergeCell ref="C49:AG49"/>
    <mergeCell ref="C50:AG50"/>
    <mergeCell ref="C26:AG26"/>
    <mergeCell ref="C27:AG27"/>
    <mergeCell ref="C28:AG28"/>
    <mergeCell ref="C29:AG29"/>
    <mergeCell ref="C30:AG30"/>
    <mergeCell ref="A55:A58"/>
    <mergeCell ref="C56:AG56"/>
    <mergeCell ref="C57:AG57"/>
    <mergeCell ref="C58:AG58"/>
    <mergeCell ref="A64:AC64"/>
    <mergeCell ref="A61:AC61"/>
    <mergeCell ref="A60:AC60"/>
    <mergeCell ref="V3:Y3"/>
    <mergeCell ref="B3:E3"/>
    <mergeCell ref="F3:I3"/>
    <mergeCell ref="J3:M3"/>
    <mergeCell ref="N3:Q3"/>
    <mergeCell ref="R3:U3"/>
    <mergeCell ref="A27:A30"/>
    <mergeCell ref="A35:A38"/>
    <mergeCell ref="A31:A34"/>
    <mergeCell ref="C31:AG31"/>
    <mergeCell ref="C32:AG32"/>
    <mergeCell ref="C33:AG33"/>
    <mergeCell ref="C34:AG34"/>
    <mergeCell ref="C35:AG35"/>
    <mergeCell ref="C36:AG36"/>
    <mergeCell ref="C37:AG37"/>
    <mergeCell ref="C38:AG38"/>
    <mergeCell ref="AD3:AG3"/>
    <mergeCell ref="AD21:AG21"/>
    <mergeCell ref="A62:AC62"/>
    <mergeCell ref="Z3:AC3"/>
    <mergeCell ref="Z21:AC21"/>
    <mergeCell ref="A47:A50"/>
    <mergeCell ref="A51:A54"/>
    <mergeCell ref="A39:A42"/>
    <mergeCell ref="A43:A46"/>
    <mergeCell ref="C39:AG39"/>
    <mergeCell ref="C40:AG40"/>
    <mergeCell ref="C41:AG41"/>
    <mergeCell ref="C42:AG42"/>
    <mergeCell ref="C43:AG43"/>
    <mergeCell ref="C44:AG44"/>
    <mergeCell ref="C45:AG45"/>
  </mergeCells>
  <pageMargins left="0.19685039370078741" right="0.19685039370078741" top="0.19685039370078741" bottom="0.39370078740157483" header="0.31496062992125984" footer="0.19685039370078741"/>
  <pageSetup paperSize="8" scale="82" orientation="landscape" r:id="rId1"/>
  <headerFooter>
    <oddFooter>&amp;L&amp;"Arial Narrow,Standard"DFG, 5. Dezember 2024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4"/>
  <sheetViews>
    <sheetView view="pageBreakPreview" zoomScale="130" zoomScaleNormal="115" zoomScaleSheetLayoutView="130" workbookViewId="0">
      <pane xSplit="1" ySplit="5" topLeftCell="B30" activePane="bottomRight" state="frozen"/>
      <selection activeCell="H33" sqref="H33"/>
      <selection pane="topRight" activeCell="H33" sqref="H33"/>
      <selection pane="bottomLeft" activeCell="H33" sqref="H33"/>
      <selection pane="bottomRight" activeCell="I46" sqref="I46"/>
    </sheetView>
  </sheetViews>
  <sheetFormatPr baseColWidth="10" defaultColWidth="11.42578125" defaultRowHeight="12.75" x14ac:dyDescent="0.2"/>
  <cols>
    <col min="1" max="1" width="5.85546875" style="14" customWidth="1"/>
    <col min="2" max="3" width="7.7109375" style="2" customWidth="1"/>
    <col min="4" max="4" width="8.7109375" style="22" customWidth="1"/>
    <col min="5" max="5" width="8.140625" style="22" customWidth="1"/>
    <col min="6" max="6" width="7.7109375" style="22" customWidth="1"/>
    <col min="7" max="7" width="8.7109375" style="22" customWidth="1"/>
    <col min="8" max="10" width="9" style="22" customWidth="1"/>
    <col min="11" max="11" width="103.7109375" style="29" customWidth="1"/>
    <col min="12" max="12" width="100" style="29" customWidth="1"/>
    <col min="13" max="16384" width="11.42578125" style="14"/>
  </cols>
  <sheetData>
    <row r="1" spans="1:12" s="18" customFormat="1" ht="15.75" x14ac:dyDescent="0.25">
      <c r="A1" s="17" t="s">
        <v>33</v>
      </c>
      <c r="B1" s="2"/>
      <c r="C1" s="2"/>
      <c r="D1" s="19"/>
      <c r="E1" s="19"/>
      <c r="F1" s="19"/>
      <c r="G1" s="19"/>
      <c r="H1" s="19"/>
      <c r="I1" s="19"/>
      <c r="J1" s="19"/>
      <c r="K1" s="26"/>
      <c r="L1" s="26"/>
    </row>
    <row r="2" spans="1:12" s="16" customFormat="1" ht="12.75" customHeight="1" x14ac:dyDescent="0.2">
      <c r="A2" s="993" t="s">
        <v>251</v>
      </c>
      <c r="B2" s="844"/>
      <c r="C2" s="844"/>
      <c r="D2" s="844"/>
      <c r="E2" s="844"/>
      <c r="F2" s="844"/>
      <c r="G2" s="844"/>
      <c r="H2" s="844"/>
      <c r="I2" s="844"/>
      <c r="J2" s="844"/>
      <c r="K2" s="844"/>
      <c r="L2" s="27"/>
    </row>
    <row r="3" spans="1:12" s="16" customFormat="1" ht="6.75" customHeight="1" x14ac:dyDescent="0.2">
      <c r="B3" s="2"/>
      <c r="C3" s="2"/>
      <c r="D3" s="20"/>
      <c r="E3" s="20"/>
      <c r="F3" s="20"/>
      <c r="G3" s="20"/>
      <c r="H3" s="20"/>
      <c r="I3" s="20"/>
      <c r="J3" s="20"/>
      <c r="K3" s="27"/>
      <c r="L3" s="27"/>
    </row>
    <row r="4" spans="1:12" s="16" customFormat="1" ht="14.25" customHeight="1" x14ac:dyDescent="0.2">
      <c r="A4" s="86"/>
      <c r="B4" s="987" t="s">
        <v>31</v>
      </c>
      <c r="C4" s="988"/>
      <c r="D4" s="989"/>
      <c r="E4" s="987" t="s">
        <v>34</v>
      </c>
      <c r="F4" s="990"/>
      <c r="G4" s="989"/>
      <c r="H4" s="987" t="s">
        <v>29</v>
      </c>
      <c r="I4" s="989"/>
      <c r="J4" s="206" t="s">
        <v>254</v>
      </c>
      <c r="K4" s="87"/>
      <c r="L4" s="88"/>
    </row>
    <row r="5" spans="1:12" s="16" customFormat="1" ht="39" customHeight="1" x14ac:dyDescent="0.2">
      <c r="A5" s="89" t="s">
        <v>4</v>
      </c>
      <c r="B5" s="41" t="s">
        <v>25</v>
      </c>
      <c r="C5" s="133" t="s">
        <v>322</v>
      </c>
      <c r="D5" s="42" t="s">
        <v>349</v>
      </c>
      <c r="E5" s="43" t="s">
        <v>314</v>
      </c>
      <c r="F5" s="133" t="s">
        <v>322</v>
      </c>
      <c r="G5" s="42" t="s">
        <v>315</v>
      </c>
      <c r="H5" s="43" t="s">
        <v>316</v>
      </c>
      <c r="I5" s="42" t="s">
        <v>253</v>
      </c>
      <c r="J5" s="38" t="s">
        <v>255</v>
      </c>
      <c r="K5" s="44" t="s">
        <v>23</v>
      </c>
      <c r="L5" s="90" t="s">
        <v>24</v>
      </c>
    </row>
    <row r="6" spans="1:12" s="24" customFormat="1" ht="25.5" customHeight="1" x14ac:dyDescent="0.2">
      <c r="A6" s="91">
        <v>1997</v>
      </c>
      <c r="B6" s="463">
        <v>-5.0999999999999996</v>
      </c>
      <c r="C6" s="464">
        <f>8+8.891</f>
        <v>16.890999999999998</v>
      </c>
      <c r="D6" s="465">
        <f t="shared" ref="D6:D27" si="0">B6-C6</f>
        <v>-21.991</v>
      </c>
      <c r="E6" s="466">
        <v>-32.9</v>
      </c>
      <c r="F6" s="467">
        <v>8.42</v>
      </c>
      <c r="G6" s="468">
        <f t="shared" ref="G6:G21" si="1">E6-F6</f>
        <v>-41.32</v>
      </c>
      <c r="H6" s="469">
        <f t="shared" ref="H6:H27" si="2">D6-G6</f>
        <v>19.329000000000001</v>
      </c>
      <c r="I6" s="470">
        <f>H6/J6</f>
        <v>1.4425864906316588E-2</v>
      </c>
      <c r="J6" s="471">
        <f>1650.28-248.461-61.934</f>
        <v>1339.885</v>
      </c>
      <c r="K6" s="39" t="s">
        <v>448</v>
      </c>
      <c r="L6" s="92" t="s">
        <v>335</v>
      </c>
    </row>
    <row r="7" spans="1:12" s="24" customFormat="1" ht="25.5" customHeight="1" x14ac:dyDescent="0.2">
      <c r="A7" s="91">
        <v>1998</v>
      </c>
      <c r="B7" s="472">
        <v>-8.9</v>
      </c>
      <c r="C7" s="464">
        <f>-1.1+8.904</f>
        <v>7.8040000000000003</v>
      </c>
      <c r="D7" s="473">
        <f t="shared" si="0"/>
        <v>-16.704000000000001</v>
      </c>
      <c r="E7" s="474">
        <v>-67.2</v>
      </c>
      <c r="F7" s="467">
        <v>9.36</v>
      </c>
      <c r="G7" s="468">
        <f t="shared" si="1"/>
        <v>-76.56</v>
      </c>
      <c r="H7" s="475">
        <f t="shared" si="2"/>
        <v>59.856000000000002</v>
      </c>
      <c r="I7" s="476">
        <f t="shared" ref="I7:I29" si="3">H7/J7</f>
        <v>4.3483567256560017E-2</v>
      </c>
      <c r="J7" s="471">
        <f>1854.131-366.639-110.972</f>
        <v>1376.5200000000002</v>
      </c>
      <c r="K7" s="39" t="s">
        <v>449</v>
      </c>
      <c r="L7" s="92" t="s">
        <v>331</v>
      </c>
    </row>
    <row r="8" spans="1:12" s="24" customFormat="1" ht="25.5" customHeight="1" x14ac:dyDescent="0.2">
      <c r="A8" s="91">
        <v>1999</v>
      </c>
      <c r="B8" s="472">
        <v>-15.7</v>
      </c>
      <c r="C8" s="467">
        <v>0</v>
      </c>
      <c r="D8" s="473">
        <f t="shared" si="0"/>
        <v>-15.7</v>
      </c>
      <c r="E8" s="477">
        <f>-46.2</f>
        <v>-46.2</v>
      </c>
      <c r="F8" s="467">
        <v>0</v>
      </c>
      <c r="G8" s="468">
        <f t="shared" si="1"/>
        <v>-46.2</v>
      </c>
      <c r="H8" s="475">
        <f t="shared" si="2"/>
        <v>30.500000000000004</v>
      </c>
      <c r="I8" s="476">
        <f t="shared" si="3"/>
        <v>2.2104652848238877E-2</v>
      </c>
      <c r="J8" s="471">
        <v>1379.8</v>
      </c>
      <c r="K8" s="39"/>
      <c r="L8" s="92" t="s">
        <v>320</v>
      </c>
    </row>
    <row r="9" spans="1:12" s="24" customFormat="1" ht="25.5" customHeight="1" x14ac:dyDescent="0.2">
      <c r="A9" s="93">
        <v>2000</v>
      </c>
      <c r="B9" s="478">
        <v>-12.9</v>
      </c>
      <c r="C9" s="479">
        <v>0</v>
      </c>
      <c r="D9" s="480">
        <f t="shared" si="0"/>
        <v>-12.9</v>
      </c>
      <c r="E9" s="481">
        <f>-46.8</f>
        <v>-46.8</v>
      </c>
      <c r="F9" s="479">
        <v>0</v>
      </c>
      <c r="G9" s="482">
        <f t="shared" si="1"/>
        <v>-46.8</v>
      </c>
      <c r="H9" s="483">
        <f t="shared" si="2"/>
        <v>33.9</v>
      </c>
      <c r="I9" s="484">
        <f t="shared" si="3"/>
        <v>2.5011066843736166E-2</v>
      </c>
      <c r="J9" s="485">
        <f>1348.8+6.6</f>
        <v>1355.3999999999999</v>
      </c>
      <c r="K9" s="47"/>
      <c r="L9" s="94" t="s">
        <v>321</v>
      </c>
    </row>
    <row r="10" spans="1:12" s="24" customFormat="1" ht="25.5" customHeight="1" x14ac:dyDescent="0.2">
      <c r="A10" s="95">
        <v>2001</v>
      </c>
      <c r="B10" s="486">
        <v>-7.2</v>
      </c>
      <c r="C10" s="487">
        <v>0</v>
      </c>
      <c r="D10" s="488">
        <f t="shared" si="0"/>
        <v>-7.2</v>
      </c>
      <c r="E10" s="489">
        <f>-41.6</f>
        <v>-41.6</v>
      </c>
      <c r="F10" s="487">
        <v>0</v>
      </c>
      <c r="G10" s="490">
        <f t="shared" si="1"/>
        <v>-41.6</v>
      </c>
      <c r="H10" s="491">
        <f t="shared" si="2"/>
        <v>34.4</v>
      </c>
      <c r="I10" s="492">
        <f t="shared" si="3"/>
        <v>2.4239007891770012E-2</v>
      </c>
      <c r="J10" s="493">
        <f>1411.6+7.6</f>
        <v>1419.1999999999998</v>
      </c>
      <c r="K10" s="48"/>
      <c r="L10" s="96" t="s">
        <v>323</v>
      </c>
    </row>
    <row r="11" spans="1:12" s="24" customFormat="1" ht="25.5" customHeight="1" x14ac:dyDescent="0.2">
      <c r="A11" s="91">
        <v>2002</v>
      </c>
      <c r="B11" s="472">
        <v>-21.4</v>
      </c>
      <c r="C11" s="467">
        <v>0</v>
      </c>
      <c r="D11" s="473">
        <f t="shared" si="0"/>
        <v>-21.4</v>
      </c>
      <c r="E11" s="477">
        <v>-33.4</v>
      </c>
      <c r="F11" s="467">
        <v>0</v>
      </c>
      <c r="G11" s="468">
        <f t="shared" si="1"/>
        <v>-33.4</v>
      </c>
      <c r="H11" s="475">
        <f t="shared" si="2"/>
        <v>12</v>
      </c>
      <c r="I11" s="476">
        <f t="shared" si="3"/>
        <v>7.8848807411787906E-3</v>
      </c>
      <c r="J11" s="471">
        <f>1513.8+8.1</f>
        <v>1521.8999999999999</v>
      </c>
      <c r="K11" s="39"/>
      <c r="L11" s="92" t="s">
        <v>325</v>
      </c>
    </row>
    <row r="12" spans="1:12" s="25" customFormat="1" ht="25.5" customHeight="1" x14ac:dyDescent="0.2">
      <c r="A12" s="97">
        <v>2003</v>
      </c>
      <c r="B12" s="494">
        <v>-41.5</v>
      </c>
      <c r="C12" s="467">
        <v>0</v>
      </c>
      <c r="D12" s="468">
        <f t="shared" si="0"/>
        <v>-41.5</v>
      </c>
      <c r="E12" s="474">
        <v>-60.2</v>
      </c>
      <c r="F12" s="467">
        <v>0</v>
      </c>
      <c r="G12" s="468">
        <f t="shared" si="1"/>
        <v>-60.2</v>
      </c>
      <c r="H12" s="475">
        <f t="shared" si="2"/>
        <v>18.700000000000003</v>
      </c>
      <c r="I12" s="476">
        <f t="shared" si="3"/>
        <v>1.2199855819885766E-2</v>
      </c>
      <c r="J12" s="471">
        <f>1532.805</f>
        <v>1532.8050000000001</v>
      </c>
      <c r="K12" s="39"/>
      <c r="L12" s="92" t="s">
        <v>326</v>
      </c>
    </row>
    <row r="13" spans="1:12" s="25" customFormat="1" ht="25.5" customHeight="1" x14ac:dyDescent="0.2">
      <c r="A13" s="98">
        <v>2004</v>
      </c>
      <c r="B13" s="495">
        <v>20.3</v>
      </c>
      <c r="C13" s="496">
        <f>-29.8</f>
        <v>-29.8</v>
      </c>
      <c r="D13" s="482">
        <f t="shared" si="0"/>
        <v>50.1</v>
      </c>
      <c r="E13" s="481">
        <v>-20.9</v>
      </c>
      <c r="F13" s="479">
        <v>0</v>
      </c>
      <c r="G13" s="482">
        <f t="shared" si="1"/>
        <v>-20.9</v>
      </c>
      <c r="H13" s="483">
        <f t="shared" si="2"/>
        <v>71</v>
      </c>
      <c r="I13" s="484">
        <f t="shared" si="3"/>
        <v>4.6710526315789473E-2</v>
      </c>
      <c r="J13" s="485">
        <f>1519.9+0.1</f>
        <v>1520</v>
      </c>
      <c r="K13" s="47" t="s">
        <v>330</v>
      </c>
      <c r="L13" s="94" t="s">
        <v>332</v>
      </c>
    </row>
    <row r="14" spans="1:12" s="25" customFormat="1" ht="25.5" customHeight="1" x14ac:dyDescent="0.2">
      <c r="A14" s="99">
        <v>2005</v>
      </c>
      <c r="B14" s="497">
        <v>80.7</v>
      </c>
      <c r="C14" s="498">
        <f>-10</f>
        <v>-10</v>
      </c>
      <c r="D14" s="490">
        <f t="shared" si="0"/>
        <v>90.7</v>
      </c>
      <c r="E14" s="499">
        <v>-14.2</v>
      </c>
      <c r="F14" s="487">
        <v>0</v>
      </c>
      <c r="G14" s="490">
        <f t="shared" si="1"/>
        <v>-14.2</v>
      </c>
      <c r="H14" s="491">
        <f t="shared" si="2"/>
        <v>104.9</v>
      </c>
      <c r="I14" s="492">
        <f t="shared" si="3"/>
        <v>5.4649648345923424E-2</v>
      </c>
      <c r="J14" s="493">
        <f>1538.2+381.3</f>
        <v>1919.5</v>
      </c>
      <c r="K14" s="48" t="s">
        <v>398</v>
      </c>
      <c r="L14" s="96" t="s">
        <v>333</v>
      </c>
    </row>
    <row r="15" spans="1:12" s="25" customFormat="1" ht="25.5" customHeight="1" x14ac:dyDescent="0.2">
      <c r="A15" s="97">
        <v>2006</v>
      </c>
      <c r="B15" s="494">
        <v>357.1</v>
      </c>
      <c r="C15" s="368">
        <v>235.8</v>
      </c>
      <c r="D15" s="468">
        <f t="shared" si="0"/>
        <v>121.30000000000001</v>
      </c>
      <c r="E15" s="477">
        <v>45.6</v>
      </c>
      <c r="F15" s="467">
        <v>0</v>
      </c>
      <c r="G15" s="468">
        <f t="shared" si="1"/>
        <v>45.6</v>
      </c>
      <c r="H15" s="475">
        <f t="shared" si="2"/>
        <v>75.700000000000017</v>
      </c>
      <c r="I15" s="476">
        <f t="shared" si="3"/>
        <v>4.8036042896122857E-2</v>
      </c>
      <c r="J15" s="500">
        <v>1575.9</v>
      </c>
      <c r="K15" s="39" t="s">
        <v>397</v>
      </c>
      <c r="L15" s="92" t="s">
        <v>334</v>
      </c>
    </row>
    <row r="16" spans="1:12" s="25" customFormat="1" ht="25.5" customHeight="1" x14ac:dyDescent="0.2">
      <c r="A16" s="97">
        <v>2007</v>
      </c>
      <c r="B16" s="501">
        <v>50.1</v>
      </c>
      <c r="C16" s="368">
        <f>-53.8-56.1</f>
        <v>-109.9</v>
      </c>
      <c r="D16" s="468">
        <f t="shared" si="0"/>
        <v>160</v>
      </c>
      <c r="E16" s="477">
        <f>38.64</f>
        <v>38.64</v>
      </c>
      <c r="F16" s="467">
        <v>-27.5</v>
      </c>
      <c r="G16" s="468">
        <f t="shared" si="1"/>
        <v>66.14</v>
      </c>
      <c r="H16" s="475">
        <f t="shared" si="2"/>
        <v>93.86</v>
      </c>
      <c r="I16" s="476">
        <f t="shared" si="3"/>
        <v>5.6186602255006712E-2</v>
      </c>
      <c r="J16" s="500">
        <v>1670.5050000000001</v>
      </c>
      <c r="K16" s="39" t="s">
        <v>370</v>
      </c>
      <c r="L16" s="92" t="s">
        <v>336</v>
      </c>
    </row>
    <row r="17" spans="1:12" s="25" customFormat="1" ht="25.5" customHeight="1" x14ac:dyDescent="0.2">
      <c r="A17" s="98">
        <v>2008</v>
      </c>
      <c r="B17" s="502">
        <v>161.422</v>
      </c>
      <c r="C17" s="496">
        <v>-14.442</v>
      </c>
      <c r="D17" s="482">
        <f t="shared" si="0"/>
        <v>175.864</v>
      </c>
      <c r="E17" s="481">
        <v>55.911000000000001</v>
      </c>
      <c r="F17" s="479">
        <v>-72.8</v>
      </c>
      <c r="G17" s="482">
        <f t="shared" si="1"/>
        <v>128.71100000000001</v>
      </c>
      <c r="H17" s="483">
        <f t="shared" si="2"/>
        <v>47.152999999999992</v>
      </c>
      <c r="I17" s="484">
        <f t="shared" si="3"/>
        <v>2.5695057490055035E-2</v>
      </c>
      <c r="J17" s="503">
        <v>1835.1</v>
      </c>
      <c r="K17" s="49" t="s">
        <v>317</v>
      </c>
      <c r="L17" s="100" t="s">
        <v>337</v>
      </c>
    </row>
    <row r="18" spans="1:12" s="25" customFormat="1" ht="25.5" customHeight="1" x14ac:dyDescent="0.2">
      <c r="A18" s="99">
        <v>2009</v>
      </c>
      <c r="B18" s="497">
        <v>312.5</v>
      </c>
      <c r="C18" s="498">
        <f>195-9.1</f>
        <v>185.9</v>
      </c>
      <c r="D18" s="490">
        <f t="shared" si="0"/>
        <v>126.6</v>
      </c>
      <c r="E18" s="499">
        <v>14.781000000000001</v>
      </c>
      <c r="F18" s="487">
        <v>-13.53</v>
      </c>
      <c r="G18" s="490">
        <f t="shared" si="1"/>
        <v>28.311</v>
      </c>
      <c r="H18" s="491">
        <f t="shared" si="2"/>
        <v>98.288999999999987</v>
      </c>
      <c r="I18" s="492">
        <f t="shared" si="3"/>
        <v>5.2863443231323609E-2</v>
      </c>
      <c r="J18" s="504">
        <f>1845.1+9.9+4.3</f>
        <v>1859.3</v>
      </c>
      <c r="K18" s="50" t="s">
        <v>341</v>
      </c>
      <c r="L18" s="101" t="s">
        <v>338</v>
      </c>
    </row>
    <row r="19" spans="1:12" s="25" customFormat="1" ht="25.5" customHeight="1" x14ac:dyDescent="0.2">
      <c r="A19" s="97">
        <v>2010</v>
      </c>
      <c r="B19" s="494">
        <v>119.5</v>
      </c>
      <c r="C19" s="368">
        <v>10.9</v>
      </c>
      <c r="D19" s="468">
        <f t="shared" si="0"/>
        <v>108.6</v>
      </c>
      <c r="E19" s="477">
        <v>-40.688000000000002</v>
      </c>
      <c r="F19" s="467">
        <v>-5.7750000000000004</v>
      </c>
      <c r="G19" s="468">
        <f t="shared" si="1"/>
        <v>-34.913000000000004</v>
      </c>
      <c r="H19" s="475">
        <f t="shared" si="2"/>
        <v>143.51300000000001</v>
      </c>
      <c r="I19" s="476">
        <f t="shared" si="3"/>
        <v>7.4945427959684577E-2</v>
      </c>
      <c r="J19" s="500">
        <f>1898.1+3.4+13.4</f>
        <v>1914.9</v>
      </c>
      <c r="K19" s="40" t="s">
        <v>342</v>
      </c>
      <c r="L19" s="102" t="s">
        <v>339</v>
      </c>
    </row>
    <row r="20" spans="1:12" s="25" customFormat="1" ht="25.5" customHeight="1" x14ac:dyDescent="0.2">
      <c r="A20" s="97">
        <v>2011</v>
      </c>
      <c r="B20" s="494">
        <v>-154.99999999999997</v>
      </c>
      <c r="C20" s="368">
        <v>-257.89999999999998</v>
      </c>
      <c r="D20" s="468">
        <f t="shared" si="0"/>
        <v>102.9</v>
      </c>
      <c r="E20" s="477">
        <f>-284.045+258.265</f>
        <v>-25.78000000000003</v>
      </c>
      <c r="F20" s="467">
        <v>-5.03</v>
      </c>
      <c r="G20" s="468">
        <f t="shared" si="1"/>
        <v>-20.750000000000028</v>
      </c>
      <c r="H20" s="475">
        <f t="shared" si="2"/>
        <v>123.65000000000003</v>
      </c>
      <c r="I20" s="476">
        <f t="shared" si="3"/>
        <v>6.5957219821838178E-2</v>
      </c>
      <c r="J20" s="471">
        <f>1861.1+9.4+4.2</f>
        <v>1874.7</v>
      </c>
      <c r="K20" s="40" t="s">
        <v>450</v>
      </c>
      <c r="L20" s="102" t="s">
        <v>340</v>
      </c>
    </row>
    <row r="21" spans="1:12" s="25" customFormat="1" ht="25.5" customHeight="1" x14ac:dyDescent="0.2">
      <c r="A21" s="98" t="s">
        <v>35</v>
      </c>
      <c r="B21" s="495">
        <v>48.800000000000004</v>
      </c>
      <c r="C21" s="496">
        <v>5.0999999999999996</v>
      </c>
      <c r="D21" s="482">
        <f t="shared" si="0"/>
        <v>43.7</v>
      </c>
      <c r="E21" s="481">
        <f>-33.63+0.08+4.584</f>
        <v>-28.966000000000005</v>
      </c>
      <c r="F21" s="479">
        <v>-3.1669999999999998</v>
      </c>
      <c r="G21" s="482">
        <f t="shared" si="1"/>
        <v>-25.799000000000007</v>
      </c>
      <c r="H21" s="483">
        <f t="shared" si="2"/>
        <v>69.499000000000009</v>
      </c>
      <c r="I21" s="484">
        <f t="shared" si="3"/>
        <v>3.3482198776316432E-2</v>
      </c>
      <c r="J21" s="505">
        <f>1971.6+96.9+5+2.2</f>
        <v>2075.6999999999998</v>
      </c>
      <c r="K21" s="47" t="s">
        <v>343</v>
      </c>
      <c r="L21" s="94"/>
    </row>
    <row r="22" spans="1:12" s="24" customFormat="1" ht="25.5" customHeight="1" x14ac:dyDescent="0.2">
      <c r="A22" s="95" t="s">
        <v>101</v>
      </c>
      <c r="B22" s="506">
        <v>-33.548000000000002</v>
      </c>
      <c r="C22" s="507">
        <v>-73.081000000000003</v>
      </c>
      <c r="D22" s="488">
        <f t="shared" si="0"/>
        <v>39.533000000000001</v>
      </c>
      <c r="E22" s="499">
        <v>-52.514000000000003</v>
      </c>
      <c r="F22" s="508">
        <v>0</v>
      </c>
      <c r="G22" s="488">
        <v>-52.514000000000003</v>
      </c>
      <c r="H22" s="491">
        <f t="shared" si="2"/>
        <v>92.046999999999997</v>
      </c>
      <c r="I22" s="492">
        <f t="shared" si="3"/>
        <v>4.8873667292780962E-2</v>
      </c>
      <c r="J22" s="509">
        <v>1883.3659329999998</v>
      </c>
      <c r="K22" s="48" t="s">
        <v>345</v>
      </c>
      <c r="L22" s="96" t="s">
        <v>344</v>
      </c>
    </row>
    <row r="23" spans="1:12" s="24" customFormat="1" ht="25.5" customHeight="1" x14ac:dyDescent="0.2">
      <c r="A23" s="91">
        <v>2014</v>
      </c>
      <c r="B23" s="510">
        <v>55.155999999999999</v>
      </c>
      <c r="C23" s="464">
        <v>11.436</v>
      </c>
      <c r="D23" s="473">
        <f t="shared" si="0"/>
        <v>43.72</v>
      </c>
      <c r="E23" s="477">
        <v>-58.4</v>
      </c>
      <c r="F23" s="467">
        <v>0</v>
      </c>
      <c r="G23" s="468">
        <v>-58.4</v>
      </c>
      <c r="H23" s="475">
        <f t="shared" si="2"/>
        <v>102.12</v>
      </c>
      <c r="I23" s="476">
        <f t="shared" si="3"/>
        <v>5.3934472300203339E-2</v>
      </c>
      <c r="J23" s="500">
        <v>1893.4087169999993</v>
      </c>
      <c r="K23" s="39" t="s">
        <v>451</v>
      </c>
      <c r="L23" s="92" t="s">
        <v>318</v>
      </c>
    </row>
    <row r="24" spans="1:12" s="24" customFormat="1" ht="25.5" customHeight="1" x14ac:dyDescent="0.2">
      <c r="A24" s="91">
        <v>2015</v>
      </c>
      <c r="B24" s="510">
        <v>16.680000000000007</v>
      </c>
      <c r="C24" s="464">
        <v>-43.16</v>
      </c>
      <c r="D24" s="473">
        <f t="shared" si="0"/>
        <v>59.84</v>
      </c>
      <c r="E24" s="477">
        <v>-54.917000000000002</v>
      </c>
      <c r="F24" s="511">
        <v>8</v>
      </c>
      <c r="G24" s="473">
        <v>-62.917000000000002</v>
      </c>
      <c r="H24" s="475">
        <f t="shared" si="2"/>
        <v>122.75700000000001</v>
      </c>
      <c r="I24" s="476">
        <f t="shared" si="3"/>
        <v>6.3832118216768888E-2</v>
      </c>
      <c r="J24" s="471">
        <v>1923.1227699999995</v>
      </c>
      <c r="K24" s="39" t="s">
        <v>452</v>
      </c>
      <c r="L24" s="92" t="s">
        <v>346</v>
      </c>
    </row>
    <row r="25" spans="1:12" s="24" customFormat="1" ht="25.5" customHeight="1" x14ac:dyDescent="0.2">
      <c r="A25" s="93">
        <v>2016</v>
      </c>
      <c r="B25" s="478">
        <v>-51.468000000000004</v>
      </c>
      <c r="C25" s="512">
        <v>-67.900000000000006</v>
      </c>
      <c r="D25" s="480">
        <f t="shared" si="0"/>
        <v>16.432000000000002</v>
      </c>
      <c r="E25" s="481">
        <v>-50.816000000000003</v>
      </c>
      <c r="F25" s="513">
        <v>5</v>
      </c>
      <c r="G25" s="480">
        <v>-55.8</v>
      </c>
      <c r="H25" s="483">
        <f t="shared" si="2"/>
        <v>72.231999999999999</v>
      </c>
      <c r="I25" s="484">
        <f t="shared" si="3"/>
        <v>3.7129544368604231E-2</v>
      </c>
      <c r="J25" s="505">
        <v>1945.4049659999998</v>
      </c>
      <c r="K25" s="47" t="s">
        <v>453</v>
      </c>
      <c r="L25" s="94" t="s">
        <v>327</v>
      </c>
    </row>
    <row r="26" spans="1:12" s="24" customFormat="1" ht="25.5" customHeight="1" x14ac:dyDescent="0.2">
      <c r="A26" s="95">
        <v>2017</v>
      </c>
      <c r="B26" s="486">
        <v>128.80000000000001</v>
      </c>
      <c r="C26" s="507">
        <v>50.8</v>
      </c>
      <c r="D26" s="488">
        <f t="shared" si="0"/>
        <v>78.000000000000014</v>
      </c>
      <c r="E26" s="499">
        <v>-20.126000000000001</v>
      </c>
      <c r="F26" s="508">
        <v>7.4</v>
      </c>
      <c r="G26" s="488">
        <v>-27.526</v>
      </c>
      <c r="H26" s="491">
        <f t="shared" si="2"/>
        <v>105.52600000000001</v>
      </c>
      <c r="I26" s="492">
        <f t="shared" si="3"/>
        <v>5.3151529281103241E-2</v>
      </c>
      <c r="J26" s="509">
        <v>1985.3803160000002</v>
      </c>
      <c r="K26" s="48" t="s">
        <v>459</v>
      </c>
      <c r="L26" s="101" t="s">
        <v>347</v>
      </c>
    </row>
    <row r="27" spans="1:12" s="24" customFormat="1" ht="25.5" customHeight="1" x14ac:dyDescent="0.2">
      <c r="A27" s="97">
        <v>2018</v>
      </c>
      <c r="B27" s="494">
        <v>2.7000000000000028</v>
      </c>
      <c r="C27" s="368">
        <v>-102.5</v>
      </c>
      <c r="D27" s="468">
        <f t="shared" si="0"/>
        <v>105.2</v>
      </c>
      <c r="E27" s="477">
        <f>-23.2+0.4</f>
        <v>-22.8</v>
      </c>
      <c r="F27" s="467">
        <v>10.1</v>
      </c>
      <c r="G27" s="468">
        <f>-33.252+0.4</f>
        <v>-32.852000000000004</v>
      </c>
      <c r="H27" s="514">
        <f t="shared" si="2"/>
        <v>138.05200000000002</v>
      </c>
      <c r="I27" s="515">
        <f t="shared" si="3"/>
        <v>6.913023854867241E-2</v>
      </c>
      <c r="J27" s="471">
        <v>1996.984285</v>
      </c>
      <c r="K27" s="40" t="s">
        <v>454</v>
      </c>
      <c r="L27" s="102" t="s">
        <v>328</v>
      </c>
    </row>
    <row r="28" spans="1:12" s="24" customFormat="1" ht="25.5" customHeight="1" x14ac:dyDescent="0.2">
      <c r="A28" s="97">
        <v>2019</v>
      </c>
      <c r="B28" s="494">
        <v>53.616948999999998</v>
      </c>
      <c r="C28" s="368">
        <v>-61.879733999999999</v>
      </c>
      <c r="D28" s="468">
        <f t="shared" ref="D28" si="4">B28-C28</f>
        <v>115.49668299999999</v>
      </c>
      <c r="E28" s="477">
        <v>-33.677</v>
      </c>
      <c r="F28" s="467">
        <v>13.936999999999999</v>
      </c>
      <c r="G28" s="468">
        <v>-47.613999999999997</v>
      </c>
      <c r="H28" s="514">
        <f t="shared" ref="H28" si="5">D28-G28</f>
        <v>163.11068299999999</v>
      </c>
      <c r="I28" s="515">
        <f t="shared" si="3"/>
        <v>8.1291922301409358E-2</v>
      </c>
      <c r="J28" s="471">
        <v>2006.4808209999992</v>
      </c>
      <c r="K28" s="40" t="s">
        <v>455</v>
      </c>
      <c r="L28" s="102" t="s">
        <v>319</v>
      </c>
    </row>
    <row r="29" spans="1:12" s="24" customFormat="1" ht="25.5" customHeight="1" x14ac:dyDescent="0.2">
      <c r="A29" s="136">
        <v>2020</v>
      </c>
      <c r="B29" s="516">
        <v>81.899647000000002</v>
      </c>
      <c r="C29" s="517">
        <v>3.1282920000000001</v>
      </c>
      <c r="D29" s="518">
        <f t="shared" ref="D29:D32" si="6">B29-C29</f>
        <v>78.771355</v>
      </c>
      <c r="E29" s="519">
        <v>-33.055999999999997</v>
      </c>
      <c r="F29" s="520">
        <v>13.592000000000001</v>
      </c>
      <c r="G29" s="518">
        <f t="shared" ref="G29" si="7">E29-F29</f>
        <v>-46.647999999999996</v>
      </c>
      <c r="H29" s="521">
        <f>D29-G29</f>
        <v>125.419355</v>
      </c>
      <c r="I29" s="522">
        <f t="shared" si="3"/>
        <v>6.1331213400384527E-2</v>
      </c>
      <c r="J29" s="523">
        <v>2044.9514699999993</v>
      </c>
      <c r="K29" s="137" t="s">
        <v>456</v>
      </c>
      <c r="L29" s="138" t="s">
        <v>329</v>
      </c>
    </row>
    <row r="30" spans="1:12" s="24" customFormat="1" ht="25.5" customHeight="1" x14ac:dyDescent="0.2">
      <c r="A30" s="98">
        <v>2021</v>
      </c>
      <c r="B30" s="495">
        <v>134.30065300000024</v>
      </c>
      <c r="C30" s="496">
        <v>-5.1338739999999996</v>
      </c>
      <c r="D30" s="482">
        <f t="shared" si="6"/>
        <v>139.43452700000023</v>
      </c>
      <c r="E30" s="481">
        <v>-34.21</v>
      </c>
      <c r="F30" s="479">
        <v>21.44</v>
      </c>
      <c r="G30" s="482">
        <f t="shared" ref="G30" si="8">E30-F30</f>
        <v>-55.650000000000006</v>
      </c>
      <c r="H30" s="524">
        <f>D30-G30</f>
        <v>195.08452700000024</v>
      </c>
      <c r="I30" s="525">
        <f t="shared" ref="I30" si="9">H30/J30</f>
        <v>8.5852917191391556E-2</v>
      </c>
      <c r="J30" s="485">
        <v>2272.3109870000003</v>
      </c>
      <c r="K30" s="49" t="s">
        <v>457</v>
      </c>
      <c r="L30" s="100" t="s">
        <v>417</v>
      </c>
    </row>
    <row r="31" spans="1:12" s="259" customFormat="1" ht="25.5" customHeight="1" x14ac:dyDescent="0.2">
      <c r="A31" s="98">
        <v>2022</v>
      </c>
      <c r="B31" s="495">
        <v>205.58511400000043</v>
      </c>
      <c r="C31" s="496">
        <v>-10.28928</v>
      </c>
      <c r="D31" s="468">
        <f t="shared" si="6"/>
        <v>215.87439400000042</v>
      </c>
      <c r="E31" s="481">
        <v>-8.9619999999999997</v>
      </c>
      <c r="F31" s="479">
        <v>32.784999999999997</v>
      </c>
      <c r="G31" s="482">
        <f>E31-F31</f>
        <v>-41.747</v>
      </c>
      <c r="H31" s="514">
        <f t="shared" ref="H31" si="10">D31-G31</f>
        <v>257.62139400000041</v>
      </c>
      <c r="I31" s="515">
        <f>H31/J31</f>
        <v>0.12549454235123617</v>
      </c>
      <c r="J31" s="485">
        <v>2052.84938431</v>
      </c>
      <c r="K31" s="49" t="s">
        <v>460</v>
      </c>
      <c r="L31" s="100" t="s">
        <v>431</v>
      </c>
    </row>
    <row r="32" spans="1:12" s="299" customFormat="1" ht="25.5" customHeight="1" x14ac:dyDescent="0.2">
      <c r="A32" s="97">
        <v>2023</v>
      </c>
      <c r="B32" s="494">
        <v>162.36581848000014</v>
      </c>
      <c r="C32" s="368">
        <v>41.9089758</v>
      </c>
      <c r="D32" s="468">
        <f t="shared" si="6"/>
        <v>120.45684268000014</v>
      </c>
      <c r="E32" s="477">
        <v>-11.205</v>
      </c>
      <c r="F32" s="467">
        <v>27.858000000000001</v>
      </c>
      <c r="G32" s="468">
        <f>E32-F32</f>
        <v>-39.063000000000002</v>
      </c>
      <c r="H32" s="514">
        <f t="shared" ref="H32:H33" si="11">D32-G32</f>
        <v>159.51984268000012</v>
      </c>
      <c r="I32" s="515">
        <f>H32/J32</f>
        <v>7.28274938917544E-2</v>
      </c>
      <c r="J32" s="471">
        <v>2190.3794042</v>
      </c>
      <c r="K32" s="40" t="s">
        <v>458</v>
      </c>
      <c r="L32" s="102" t="s">
        <v>447</v>
      </c>
    </row>
    <row r="33" spans="1:12" s="624" customFormat="1" ht="25.5" customHeight="1" x14ac:dyDescent="0.2">
      <c r="A33" s="98">
        <v>2024</v>
      </c>
      <c r="B33" s="495">
        <v>87.697453359999997</v>
      </c>
      <c r="C33" s="496">
        <v>3.3548976800000001</v>
      </c>
      <c r="D33" s="482">
        <v>84.342555680000004</v>
      </c>
      <c r="E33" s="481">
        <v>-46.919000000000004</v>
      </c>
      <c r="F33" s="479">
        <v>24.722000000000001</v>
      </c>
      <c r="G33" s="482">
        <v>-71.641000000000005</v>
      </c>
      <c r="H33" s="524">
        <f t="shared" si="11"/>
        <v>155.98355567999999</v>
      </c>
      <c r="I33" s="525">
        <f>H33/J33</f>
        <v>6.6697312689678739E-2</v>
      </c>
      <c r="J33" s="485">
        <v>2338.6782673800003</v>
      </c>
      <c r="K33" s="49" t="s">
        <v>525</v>
      </c>
      <c r="L33" s="100" t="s">
        <v>526</v>
      </c>
    </row>
    <row r="34" spans="1:12" s="737" customFormat="1" ht="25.5" customHeight="1" x14ac:dyDescent="0.2">
      <c r="A34" s="136">
        <v>2025</v>
      </c>
      <c r="B34" s="516"/>
      <c r="C34" s="517"/>
      <c r="D34" s="518"/>
      <c r="E34" s="519">
        <f>-90.513+3.28</f>
        <v>-87.233000000000004</v>
      </c>
      <c r="F34" s="520">
        <v>31.08</v>
      </c>
      <c r="G34" s="518">
        <f>E34-F34</f>
        <v>-118.313</v>
      </c>
      <c r="H34" s="521"/>
      <c r="I34" s="522"/>
      <c r="J34" s="523"/>
      <c r="K34" s="137" t="s">
        <v>461</v>
      </c>
      <c r="L34" s="138" t="s">
        <v>462</v>
      </c>
    </row>
    <row r="35" spans="1:12" s="24" customFormat="1" ht="25.5" customHeight="1" x14ac:dyDescent="0.2">
      <c r="A35" s="302">
        <v>2026</v>
      </c>
      <c r="B35" s="526"/>
      <c r="C35" s="527"/>
      <c r="D35" s="528"/>
      <c r="E35" s="529">
        <v>-111.348</v>
      </c>
      <c r="F35" s="530">
        <v>30.792000000000002</v>
      </c>
      <c r="G35" s="528">
        <f>E35-F35</f>
        <v>-142.13999999999999</v>
      </c>
      <c r="H35" s="531"/>
      <c r="I35" s="532"/>
      <c r="J35" s="533"/>
      <c r="K35" s="303" t="s">
        <v>527</v>
      </c>
      <c r="L35" s="304" t="s">
        <v>533</v>
      </c>
    </row>
    <row r="36" spans="1:12" ht="4.5" customHeight="1" x14ac:dyDescent="0.2"/>
    <row r="37" spans="1:12" s="16" customFormat="1" x14ac:dyDescent="0.2">
      <c r="A37" s="993" t="s">
        <v>324</v>
      </c>
      <c r="B37" s="844"/>
      <c r="C37" s="844"/>
      <c r="D37" s="844"/>
      <c r="E37" s="844"/>
      <c r="F37" s="844"/>
      <c r="G37" s="844"/>
      <c r="H37" s="844"/>
      <c r="I37" s="844"/>
      <c r="J37" s="844"/>
      <c r="K37" s="844"/>
      <c r="L37" s="844"/>
    </row>
    <row r="38" spans="1:12" s="15" customFormat="1" ht="15" x14ac:dyDescent="0.2">
      <c r="A38" s="16" t="s">
        <v>36</v>
      </c>
      <c r="B38" s="2"/>
      <c r="C38" s="2"/>
      <c r="D38" s="21"/>
      <c r="E38" s="21"/>
      <c r="F38" s="21"/>
      <c r="G38" s="21"/>
      <c r="H38" s="21"/>
      <c r="I38" s="21"/>
      <c r="J38" s="21"/>
      <c r="K38" s="28"/>
      <c r="L38" s="28"/>
    </row>
    <row r="39" spans="1:12" s="15" customFormat="1" ht="15" x14ac:dyDescent="0.2">
      <c r="A39" s="16" t="s">
        <v>26</v>
      </c>
      <c r="B39" s="23"/>
      <c r="C39" s="2"/>
      <c r="D39" s="21"/>
      <c r="E39" s="21"/>
      <c r="F39" s="21"/>
      <c r="G39" s="21"/>
      <c r="H39" s="21"/>
      <c r="I39" s="21"/>
      <c r="J39" s="21"/>
      <c r="K39" s="28"/>
      <c r="L39" s="28"/>
    </row>
    <row r="40" spans="1:12" ht="15" x14ac:dyDescent="0.2">
      <c r="A40" s="16" t="s">
        <v>27</v>
      </c>
    </row>
    <row r="41" spans="1:12" s="210" customFormat="1" ht="15" x14ac:dyDescent="0.2">
      <c r="A41" s="36" t="s">
        <v>277</v>
      </c>
      <c r="B41" s="6"/>
      <c r="C41" s="6"/>
      <c r="D41" s="208"/>
      <c r="E41" s="208"/>
      <c r="F41" s="208"/>
      <c r="G41" s="208"/>
      <c r="H41" s="208"/>
      <c r="I41" s="208"/>
      <c r="J41" s="208"/>
      <c r="K41" s="209"/>
      <c r="L41" s="209"/>
    </row>
    <row r="42" spans="1:12" ht="15" x14ac:dyDescent="0.2">
      <c r="A42" s="35" t="s">
        <v>351</v>
      </c>
    </row>
    <row r="43" spans="1:12" ht="4.5" customHeight="1" x14ac:dyDescent="0.2"/>
    <row r="44" spans="1:12" s="24" customFormat="1" ht="25.5" customHeight="1" x14ac:dyDescent="0.2">
      <c r="A44" s="265" t="s">
        <v>536</v>
      </c>
      <c r="B44" s="534">
        <f t="shared" ref="B44:J44" si="12">AVERAGE(B6:B21)</f>
        <v>55.170124999999999</v>
      </c>
      <c r="C44" s="534">
        <f t="shared" si="12"/>
        <v>2.5220625000000028</v>
      </c>
      <c r="D44" s="534">
        <f t="shared" si="12"/>
        <v>52.648062500000002</v>
      </c>
      <c r="E44" s="497">
        <f t="shared" si="12"/>
        <v>-18.993874999999999</v>
      </c>
      <c r="F44" s="534">
        <f t="shared" si="12"/>
        <v>-6.8763750000000003</v>
      </c>
      <c r="G44" s="535">
        <f t="shared" si="12"/>
        <v>-12.117499999999998</v>
      </c>
      <c r="H44" s="534">
        <f t="shared" si="12"/>
        <v>64.765562500000016</v>
      </c>
      <c r="I44" s="536">
        <f t="shared" si="12"/>
        <v>3.7992191462484157E-2</v>
      </c>
      <c r="J44" s="438">
        <f t="shared" si="12"/>
        <v>1635.6946875000001</v>
      </c>
      <c r="K44" s="266"/>
      <c r="L44" s="103"/>
    </row>
    <row r="45" spans="1:12" s="24" customFormat="1" ht="25.5" customHeight="1" x14ac:dyDescent="0.2">
      <c r="A45" s="267" t="s">
        <v>537</v>
      </c>
      <c r="B45" s="537"/>
      <c r="C45" s="537"/>
      <c r="D45" s="368"/>
      <c r="E45" s="501">
        <f>AVERAGE(E22:E35)</f>
        <v>-44.727357142857144</v>
      </c>
      <c r="F45" s="368">
        <f>AVERAGE(F22:F35)</f>
        <v>16.193285714285715</v>
      </c>
      <c r="G45" s="837">
        <f>AVERAGE(G22:G35)</f>
        <v>-60.916071428571421</v>
      </c>
      <c r="H45" s="368"/>
      <c r="I45" s="538"/>
      <c r="J45" s="433"/>
      <c r="K45" s="268"/>
      <c r="L45" s="104"/>
    </row>
    <row r="46" spans="1:12" s="24" customFormat="1" ht="25.5" customHeight="1" x14ac:dyDescent="0.2">
      <c r="A46" s="269" t="s">
        <v>538</v>
      </c>
      <c r="B46" s="539"/>
      <c r="C46" s="539"/>
      <c r="D46" s="517"/>
      <c r="E46" s="838">
        <f>AVERAGE(E6:E35)</f>
        <v>-31.002833333333335</v>
      </c>
      <c r="F46" s="517">
        <f>AVERAGE(F6:F35)</f>
        <v>3.8894666666666664</v>
      </c>
      <c r="G46" s="839">
        <f>AVERAGE(G6:G35)</f>
        <v>-34.890166666666666</v>
      </c>
      <c r="H46" s="517"/>
      <c r="I46" s="840"/>
      <c r="J46" s="445"/>
      <c r="K46" s="270"/>
      <c r="L46" s="105"/>
    </row>
    <row r="47" spans="1:12" s="25" customFormat="1" ht="4.5" customHeight="1" x14ac:dyDescent="0.2">
      <c r="A47" s="707"/>
      <c r="B47" s="224"/>
      <c r="C47" s="224"/>
      <c r="D47" s="223"/>
      <c r="E47" s="223"/>
      <c r="F47" s="223"/>
      <c r="G47" s="223"/>
      <c r="H47" s="223"/>
      <c r="I47" s="708"/>
      <c r="J47" s="223"/>
      <c r="K47" s="271"/>
      <c r="L47" s="271"/>
    </row>
    <row r="48" spans="1:12" s="22" customFormat="1" x14ac:dyDescent="0.2">
      <c r="A48" s="991" t="s">
        <v>87</v>
      </c>
      <c r="B48" s="992"/>
      <c r="C48" s="992"/>
      <c r="D48" s="992"/>
      <c r="E48" s="992"/>
      <c r="F48" s="992"/>
      <c r="G48" s="992"/>
      <c r="H48" s="992"/>
      <c r="I48" s="992"/>
      <c r="J48" s="992"/>
      <c r="K48" s="992"/>
      <c r="L48" s="29"/>
    </row>
    <row r="49" spans="1:12" s="24" customFormat="1" ht="25.5" customHeight="1" x14ac:dyDescent="0.2">
      <c r="A49" s="265" t="s">
        <v>348</v>
      </c>
      <c r="B49" s="534">
        <f t="shared" ref="B49:I49" si="13">AVERAGE(B14:B17)</f>
        <v>162.3305</v>
      </c>
      <c r="C49" s="534">
        <f t="shared" si="13"/>
        <v>25.3645</v>
      </c>
      <c r="D49" s="534">
        <f t="shared" si="13"/>
        <v>136.96600000000001</v>
      </c>
      <c r="E49" s="497">
        <f t="shared" si="13"/>
        <v>31.487750000000002</v>
      </c>
      <c r="F49" s="534">
        <f t="shared" si="13"/>
        <v>-25.074999999999999</v>
      </c>
      <c r="G49" s="535">
        <f t="shared" si="13"/>
        <v>56.562750000000008</v>
      </c>
      <c r="H49" s="534">
        <f t="shared" si="13"/>
        <v>80.403250000000014</v>
      </c>
      <c r="I49" s="536">
        <f t="shared" si="13"/>
        <v>4.6141837746777013E-2</v>
      </c>
      <c r="J49" s="438">
        <f t="shared" ref="J49" si="14">AVERAGE(J14:J17)</f>
        <v>1750.2512500000003</v>
      </c>
      <c r="K49" s="266"/>
      <c r="L49" s="103"/>
    </row>
    <row r="50" spans="1:12" s="24" customFormat="1" ht="25.5" customHeight="1" x14ac:dyDescent="0.2">
      <c r="A50" s="267" t="s">
        <v>88</v>
      </c>
      <c r="B50" s="537">
        <f t="shared" ref="B50:I50" si="15">AVERAGE(B18:B21)</f>
        <v>81.45</v>
      </c>
      <c r="C50" s="537">
        <f t="shared" si="15"/>
        <v>-13.999999999999991</v>
      </c>
      <c r="D50" s="537">
        <f t="shared" si="15"/>
        <v>95.45</v>
      </c>
      <c r="E50" s="494">
        <f t="shared" si="15"/>
        <v>-20.163250000000009</v>
      </c>
      <c r="F50" s="537">
        <f t="shared" si="15"/>
        <v>-6.8755000000000006</v>
      </c>
      <c r="G50" s="540">
        <f t="shared" si="15"/>
        <v>-13.28775000000001</v>
      </c>
      <c r="H50" s="537">
        <f t="shared" si="15"/>
        <v>108.73775000000001</v>
      </c>
      <c r="I50" s="541">
        <f t="shared" si="15"/>
        <v>5.6812072447290696E-2</v>
      </c>
      <c r="J50" s="432">
        <f t="shared" ref="J50" si="16">AVERAGE(J18:J21)</f>
        <v>1931.1499999999999</v>
      </c>
      <c r="K50" s="268"/>
      <c r="L50" s="104"/>
    </row>
    <row r="51" spans="1:12" s="24" customFormat="1" ht="25.5" customHeight="1" x14ac:dyDescent="0.2">
      <c r="A51" s="267" t="s">
        <v>89</v>
      </c>
      <c r="B51" s="537">
        <f t="shared" ref="B51:I51" si="17">AVERAGE(B22:B25)</f>
        <v>-3.2949999999999999</v>
      </c>
      <c r="C51" s="537">
        <f t="shared" si="17"/>
        <v>-43.176250000000003</v>
      </c>
      <c r="D51" s="537">
        <f t="shared" si="17"/>
        <v>39.881250000000009</v>
      </c>
      <c r="E51" s="494">
        <f t="shared" si="17"/>
        <v>-54.161750000000005</v>
      </c>
      <c r="F51" s="537">
        <f t="shared" si="17"/>
        <v>3.25</v>
      </c>
      <c r="G51" s="540">
        <f t="shared" si="17"/>
        <v>-57.407750000000007</v>
      </c>
      <c r="H51" s="537">
        <f t="shared" si="17"/>
        <v>97.288999999999987</v>
      </c>
      <c r="I51" s="541">
        <f t="shared" si="17"/>
        <v>5.0942450544589346E-2</v>
      </c>
      <c r="J51" s="432">
        <f t="shared" ref="J51" si="18">AVERAGE(J22:J25)</f>
        <v>1911.3255964999998</v>
      </c>
      <c r="K51" s="268"/>
      <c r="L51" s="104"/>
    </row>
    <row r="52" spans="1:12" s="24" customFormat="1" ht="25.5" customHeight="1" x14ac:dyDescent="0.2">
      <c r="A52" s="272" t="s">
        <v>90</v>
      </c>
      <c r="B52" s="542">
        <f>AVERAGE(B26:B29)</f>
        <v>66.754148999999998</v>
      </c>
      <c r="C52" s="542">
        <f>AVERAGE(C26:C29)</f>
        <v>-27.6128605</v>
      </c>
      <c r="D52" s="542">
        <f>AVERAGE(D26:D29)</f>
        <v>94.367009499999995</v>
      </c>
      <c r="E52" s="495">
        <f>AVERAGE(E26:E29)</f>
        <v>-27.414750000000002</v>
      </c>
      <c r="F52" s="542">
        <f t="shared" ref="F52:I52" si="19">AVERAGE(F26:F29)</f>
        <v>11.257249999999999</v>
      </c>
      <c r="G52" s="543">
        <f t="shared" si="19"/>
        <v>-38.659999999999997</v>
      </c>
      <c r="H52" s="542">
        <f>AVERAGE(H26:H29)</f>
        <v>133.02700950000002</v>
      </c>
      <c r="I52" s="544">
        <f t="shared" si="19"/>
        <v>6.6226225882892384E-2</v>
      </c>
      <c r="J52" s="436">
        <f>AVERAGE(J26:J29)</f>
        <v>2008.4492229999996</v>
      </c>
      <c r="K52" s="273"/>
      <c r="L52" s="139"/>
    </row>
    <row r="53" spans="1:12" s="624" customFormat="1" ht="25.5" customHeight="1" x14ac:dyDescent="0.2">
      <c r="A53" s="272" t="s">
        <v>150</v>
      </c>
      <c r="B53" s="542">
        <f>AVERAGE(B30:B33)</f>
        <v>147.48725971000022</v>
      </c>
      <c r="C53" s="542">
        <f t="shared" ref="C53" si="20">AVERAGE(C30:C33)</f>
        <v>7.4601798700000002</v>
      </c>
      <c r="D53" s="542">
        <f t="shared" ref="D53:J53" si="21">AVERAGE(D30:D33)</f>
        <v>140.0270798400002</v>
      </c>
      <c r="E53" s="495">
        <f t="shared" si="21"/>
        <v>-25.323999999999998</v>
      </c>
      <c r="F53" s="542">
        <f t="shared" si="21"/>
        <v>26.701250000000002</v>
      </c>
      <c r="G53" s="543">
        <f t="shared" si="21"/>
        <v>-52.02525</v>
      </c>
      <c r="H53" s="542">
        <f t="shared" si="21"/>
        <v>192.0523298400002</v>
      </c>
      <c r="I53" s="544">
        <f t="shared" si="21"/>
        <v>8.7718066531015215E-2</v>
      </c>
      <c r="J53" s="542">
        <f t="shared" si="21"/>
        <v>2213.5545107225003</v>
      </c>
      <c r="K53" s="273"/>
      <c r="L53" s="139"/>
    </row>
    <row r="54" spans="1:12" s="624" customFormat="1" ht="25.5" customHeight="1" x14ac:dyDescent="0.2">
      <c r="A54" s="269" t="s">
        <v>463</v>
      </c>
      <c r="B54" s="539"/>
      <c r="C54" s="539"/>
      <c r="D54" s="539"/>
      <c r="E54" s="495">
        <f>AVERAGE(E34:E35)</f>
        <v>-99.290500000000009</v>
      </c>
      <c r="F54" s="542">
        <f>AVERAGE(F34:F35)</f>
        <v>30.936</v>
      </c>
      <c r="G54" s="543">
        <f>AVERAGE(G34:G35)</f>
        <v>-130.22649999999999</v>
      </c>
      <c r="H54" s="539"/>
      <c r="I54" s="545"/>
      <c r="J54" s="461"/>
      <c r="K54" s="270"/>
      <c r="L54" s="105"/>
    </row>
  </sheetData>
  <mergeCells count="6">
    <mergeCell ref="B4:D4"/>
    <mergeCell ref="H4:I4"/>
    <mergeCell ref="E4:G4"/>
    <mergeCell ref="A48:K48"/>
    <mergeCell ref="A2:K2"/>
    <mergeCell ref="A37:L37"/>
  </mergeCells>
  <pageMargins left="0.19685039370078741" right="0.19685039370078741" top="0.19685039370078741" bottom="0.39370078740157483" header="0.31496062992125984" footer="0.19685039370078741"/>
  <pageSetup paperSize="8" scale="66" orientation="landscape" r:id="rId1"/>
  <headerFooter>
    <oddFooter>&amp;L&amp;"Arial Narrow,Standard"DFG, 5. Dezember 2024</oddFooter>
  </headerFooter>
  <rowBreaks count="1" manualBreakCount="1">
    <brk id="36"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3"/>
  <sheetViews>
    <sheetView view="pageBreakPreview" zoomScaleNormal="100" zoomScaleSheetLayoutView="100" workbookViewId="0">
      <pane xSplit="1" ySplit="5" topLeftCell="B6" activePane="bottomRight" state="frozen"/>
      <selection activeCell="H33" sqref="H33"/>
      <selection pane="topRight" activeCell="H33" sqref="H33"/>
      <selection pane="bottomLeft" activeCell="H33" sqref="H33"/>
      <selection pane="bottomRight" activeCell="K49" sqref="K49"/>
    </sheetView>
  </sheetViews>
  <sheetFormatPr baseColWidth="10" defaultColWidth="11.42578125" defaultRowHeight="12.75" x14ac:dyDescent="0.2"/>
  <cols>
    <col min="1" max="1" width="5.85546875" style="2" customWidth="1"/>
    <col min="2" max="2" width="7.85546875" style="2" customWidth="1"/>
    <col min="3" max="3" width="7.7109375" style="2" customWidth="1"/>
    <col min="4" max="4" width="8.28515625" style="2" customWidth="1"/>
    <col min="5" max="5" width="8.42578125" style="2" customWidth="1"/>
    <col min="6" max="6" width="7.7109375" style="2" customWidth="1"/>
    <col min="7" max="7" width="8.42578125" style="2" customWidth="1"/>
    <col min="8" max="8" width="8.28515625" style="2" customWidth="1"/>
    <col min="9" max="9" width="7.42578125" style="2" customWidth="1"/>
    <col min="10" max="10" width="8.140625" style="2" customWidth="1"/>
    <col min="11" max="11" width="162" style="32" customWidth="1"/>
    <col min="12" max="13" width="9.5703125" style="31" customWidth="1"/>
    <col min="14" max="16384" width="11.42578125" style="2"/>
  </cols>
  <sheetData>
    <row r="1" spans="1:13" ht="15.75" x14ac:dyDescent="0.25">
      <c r="A1" s="1" t="s">
        <v>28</v>
      </c>
    </row>
    <row r="2" spans="1:13" ht="12.75" customHeight="1" x14ac:dyDescent="0.2">
      <c r="A2" s="2" t="s">
        <v>252</v>
      </c>
    </row>
    <row r="3" spans="1:13" ht="12.75" customHeight="1" x14ac:dyDescent="0.2"/>
    <row r="4" spans="1:13" s="30" customFormat="1" ht="13.5" customHeight="1" x14ac:dyDescent="0.2">
      <c r="A4" s="106"/>
      <c r="B4" s="994" t="s">
        <v>31</v>
      </c>
      <c r="C4" s="995"/>
      <c r="D4" s="996"/>
      <c r="E4" s="994" t="s">
        <v>69</v>
      </c>
      <c r="F4" s="988"/>
      <c r="G4" s="988"/>
      <c r="H4" s="989"/>
      <c r="I4" s="994" t="s">
        <v>29</v>
      </c>
      <c r="J4" s="989"/>
      <c r="K4" s="107"/>
      <c r="L4" s="54"/>
      <c r="M4" s="54"/>
    </row>
    <row r="5" spans="1:13" s="5" customFormat="1" ht="39" customHeight="1" x14ac:dyDescent="0.2">
      <c r="A5" s="108" t="s">
        <v>4</v>
      </c>
      <c r="B5" s="51" t="s">
        <v>353</v>
      </c>
      <c r="C5" s="52" t="s">
        <v>350</v>
      </c>
      <c r="D5" s="53" t="s">
        <v>354</v>
      </c>
      <c r="E5" s="51" t="s">
        <v>355</v>
      </c>
      <c r="F5" s="52" t="s">
        <v>350</v>
      </c>
      <c r="G5" s="243" t="s">
        <v>386</v>
      </c>
      <c r="H5" s="53" t="s">
        <v>356</v>
      </c>
      <c r="I5" s="51" t="s">
        <v>358</v>
      </c>
      <c r="J5" s="53" t="s">
        <v>357</v>
      </c>
      <c r="K5" s="109" t="s">
        <v>72</v>
      </c>
      <c r="L5" s="55"/>
      <c r="M5" s="9"/>
    </row>
    <row r="6" spans="1:13" s="7" customFormat="1" ht="13.5" customHeight="1" x14ac:dyDescent="0.2">
      <c r="A6" s="110">
        <v>1997</v>
      </c>
      <c r="B6" s="353">
        <v>183.2</v>
      </c>
      <c r="C6" s="317">
        <v>22.3</v>
      </c>
      <c r="D6" s="335">
        <f t="shared" ref="D6:D27" si="0">B6-C6</f>
        <v>160.89999999999998</v>
      </c>
      <c r="E6" s="353">
        <v>191.142</v>
      </c>
      <c r="F6" s="317">
        <v>-4.0910000000000002</v>
      </c>
      <c r="G6" s="546">
        <v>205</v>
      </c>
      <c r="H6" s="547">
        <f t="shared" ref="H6:H27" si="1">E6-F6</f>
        <v>195.233</v>
      </c>
      <c r="I6" s="353">
        <f t="shared" ref="I6:I27" si="2">D6-H6</f>
        <v>-34.333000000000027</v>
      </c>
      <c r="J6" s="548">
        <f t="shared" ref="J6:J27" si="3">I6/D6</f>
        <v>-0.21338098197638306</v>
      </c>
      <c r="K6" s="111" t="s">
        <v>102</v>
      </c>
      <c r="L6" s="56"/>
      <c r="M6" s="57"/>
    </row>
    <row r="7" spans="1:13" s="3" customFormat="1" ht="13.5" customHeight="1" x14ac:dyDescent="0.2">
      <c r="A7" s="112">
        <v>1998</v>
      </c>
      <c r="B7" s="549">
        <v>187.7</v>
      </c>
      <c r="C7" s="324">
        <v>20.7</v>
      </c>
      <c r="D7" s="337">
        <f t="shared" si="0"/>
        <v>167</v>
      </c>
      <c r="E7" s="549">
        <v>198.65600000000001</v>
      </c>
      <c r="F7" s="324">
        <v>5.9</v>
      </c>
      <c r="G7" s="550">
        <v>205</v>
      </c>
      <c r="H7" s="551">
        <f t="shared" si="1"/>
        <v>192.756</v>
      </c>
      <c r="I7" s="549">
        <f t="shared" si="2"/>
        <v>-25.756</v>
      </c>
      <c r="J7" s="552">
        <f t="shared" si="3"/>
        <v>-0.15422754491017965</v>
      </c>
      <c r="K7" s="113" t="s">
        <v>103</v>
      </c>
      <c r="L7" s="58"/>
      <c r="M7" s="59"/>
    </row>
    <row r="8" spans="1:13" s="7" customFormat="1" ht="13.5" customHeight="1" x14ac:dyDescent="0.2">
      <c r="A8" s="112">
        <v>1999</v>
      </c>
      <c r="B8" s="549">
        <v>158.55351400000001</v>
      </c>
      <c r="C8" s="324">
        <f>1.236-9.589</f>
        <v>-8.3529999999999998</v>
      </c>
      <c r="D8" s="337">
        <f t="shared" si="0"/>
        <v>166.90651400000002</v>
      </c>
      <c r="E8" s="549">
        <v>171.4</v>
      </c>
      <c r="F8" s="324">
        <v>0</v>
      </c>
      <c r="G8" s="550">
        <v>205</v>
      </c>
      <c r="H8" s="551">
        <f t="shared" si="1"/>
        <v>171.4</v>
      </c>
      <c r="I8" s="549">
        <f t="shared" si="2"/>
        <v>-4.4934859999999901</v>
      </c>
      <c r="J8" s="552">
        <f t="shared" si="3"/>
        <v>-2.6922172731976116E-2</v>
      </c>
      <c r="K8" s="113" t="s">
        <v>104</v>
      </c>
      <c r="L8" s="56"/>
      <c r="M8" s="57"/>
    </row>
    <row r="9" spans="1:13" s="34" customFormat="1" ht="13.5" customHeight="1" x14ac:dyDescent="0.2">
      <c r="A9" s="114">
        <v>2000</v>
      </c>
      <c r="B9" s="553">
        <v>138.1</v>
      </c>
      <c r="C9" s="554">
        <v>-12.4</v>
      </c>
      <c r="D9" s="555">
        <f t="shared" si="0"/>
        <v>150.5</v>
      </c>
      <c r="E9" s="553">
        <v>157.4</v>
      </c>
      <c r="F9" s="554">
        <v>-2.4</v>
      </c>
      <c r="G9" s="556">
        <v>205</v>
      </c>
      <c r="H9" s="557">
        <f t="shared" si="1"/>
        <v>159.80000000000001</v>
      </c>
      <c r="I9" s="553">
        <f t="shared" si="2"/>
        <v>-9.3000000000000114</v>
      </c>
      <c r="J9" s="558">
        <f t="shared" si="3"/>
        <v>-6.1794019933554892E-2</v>
      </c>
      <c r="K9" s="115" t="s">
        <v>105</v>
      </c>
      <c r="L9" s="60"/>
      <c r="M9" s="61"/>
    </row>
    <row r="10" spans="1:13" s="34" customFormat="1" ht="13.5" customHeight="1" x14ac:dyDescent="0.2">
      <c r="A10" s="116">
        <v>2001</v>
      </c>
      <c r="B10" s="559">
        <v>124.6</v>
      </c>
      <c r="C10" s="560">
        <v>-20.5</v>
      </c>
      <c r="D10" s="561">
        <f t="shared" si="0"/>
        <v>145.1</v>
      </c>
      <c r="E10" s="559">
        <v>140.6</v>
      </c>
      <c r="F10" s="560">
        <v>-13.1</v>
      </c>
      <c r="G10" s="562">
        <v>170</v>
      </c>
      <c r="H10" s="563">
        <f t="shared" si="1"/>
        <v>153.69999999999999</v>
      </c>
      <c r="I10" s="559">
        <f t="shared" si="2"/>
        <v>-8.5999999999999943</v>
      </c>
      <c r="J10" s="564">
        <f t="shared" si="3"/>
        <v>-5.9269469331495482E-2</v>
      </c>
      <c r="K10" s="117" t="s">
        <v>60</v>
      </c>
      <c r="L10" s="60"/>
      <c r="M10" s="61"/>
    </row>
    <row r="11" spans="1:13" s="34" customFormat="1" ht="13.5" customHeight="1" x14ac:dyDescent="0.2">
      <c r="A11" s="118">
        <v>2002</v>
      </c>
      <c r="B11" s="565">
        <v>147.5</v>
      </c>
      <c r="C11" s="566">
        <v>-6.3000000000000096</v>
      </c>
      <c r="D11" s="567">
        <f t="shared" si="0"/>
        <v>153.80000000000001</v>
      </c>
      <c r="E11" s="565">
        <v>158</v>
      </c>
      <c r="F11" s="566">
        <v>-5.5</v>
      </c>
      <c r="G11" s="568">
        <v>170</v>
      </c>
      <c r="H11" s="569">
        <f t="shared" si="1"/>
        <v>163.5</v>
      </c>
      <c r="I11" s="565">
        <f t="shared" si="2"/>
        <v>-9.6999999999999886</v>
      </c>
      <c r="J11" s="570">
        <f t="shared" si="3"/>
        <v>-6.3068920676202789E-2</v>
      </c>
      <c r="K11" s="119" t="s">
        <v>61</v>
      </c>
      <c r="L11" s="60"/>
      <c r="M11" s="61"/>
    </row>
    <row r="12" spans="1:13" s="34" customFormat="1" ht="13.5" customHeight="1" x14ac:dyDescent="0.2">
      <c r="A12" s="118">
        <v>2003</v>
      </c>
      <c r="B12" s="565">
        <v>155.488</v>
      </c>
      <c r="C12" s="566">
        <v>6.0999999999999999E-2</v>
      </c>
      <c r="D12" s="567">
        <f t="shared" si="0"/>
        <v>155.42699999999999</v>
      </c>
      <c r="E12" s="565">
        <v>166</v>
      </c>
      <c r="F12" s="566">
        <v>6</v>
      </c>
      <c r="G12" s="568">
        <v>170</v>
      </c>
      <c r="H12" s="569">
        <f t="shared" si="1"/>
        <v>160</v>
      </c>
      <c r="I12" s="565">
        <f t="shared" si="2"/>
        <v>-4.5730000000000075</v>
      </c>
      <c r="J12" s="570">
        <f t="shared" si="3"/>
        <v>-2.9422172466817269E-2</v>
      </c>
      <c r="K12" s="119" t="s">
        <v>57</v>
      </c>
      <c r="L12" s="60"/>
      <c r="M12" s="61"/>
    </row>
    <row r="13" spans="1:13" s="34" customFormat="1" ht="13.5" customHeight="1" x14ac:dyDescent="0.2">
      <c r="A13" s="120">
        <v>2004</v>
      </c>
      <c r="B13" s="571">
        <v>148.03899999999999</v>
      </c>
      <c r="C13" s="572">
        <v>6.6000000000000003E-2</v>
      </c>
      <c r="D13" s="573">
        <f t="shared" si="0"/>
        <v>147.97299999999998</v>
      </c>
      <c r="E13" s="571">
        <v>155.9</v>
      </c>
      <c r="F13" s="572">
        <v>4</v>
      </c>
      <c r="G13" s="574">
        <v>170</v>
      </c>
      <c r="H13" s="575">
        <f t="shared" si="1"/>
        <v>151.9</v>
      </c>
      <c r="I13" s="571">
        <f t="shared" si="2"/>
        <v>-3.9270000000000209</v>
      </c>
      <c r="J13" s="576">
        <f t="shared" si="3"/>
        <v>-2.653862528974895E-2</v>
      </c>
      <c r="K13" s="121" t="s">
        <v>58</v>
      </c>
      <c r="L13" s="60"/>
      <c r="M13" s="61"/>
    </row>
    <row r="14" spans="1:13" s="34" customFormat="1" ht="13.5" customHeight="1" x14ac:dyDescent="0.2">
      <c r="A14" s="122">
        <v>2005</v>
      </c>
      <c r="B14" s="355">
        <v>529.5</v>
      </c>
      <c r="C14" s="356">
        <f>381.3+1.1</f>
        <v>382.40000000000003</v>
      </c>
      <c r="D14" s="357">
        <f t="shared" si="0"/>
        <v>147.09999999999997</v>
      </c>
      <c r="E14" s="355">
        <v>559.1</v>
      </c>
      <c r="F14" s="356">
        <f>400+1</f>
        <v>401</v>
      </c>
      <c r="G14" s="577">
        <v>170</v>
      </c>
      <c r="H14" s="578">
        <f t="shared" si="1"/>
        <v>158.10000000000002</v>
      </c>
      <c r="I14" s="355">
        <f t="shared" si="2"/>
        <v>-11.000000000000057</v>
      </c>
      <c r="J14" s="579">
        <f t="shared" si="3"/>
        <v>-7.4779061862678853E-2</v>
      </c>
      <c r="K14" s="123" t="s">
        <v>62</v>
      </c>
      <c r="L14" s="60"/>
      <c r="M14" s="61"/>
    </row>
    <row r="15" spans="1:13" s="7" customFormat="1" ht="25.5" customHeight="1" x14ac:dyDescent="0.2">
      <c r="A15" s="112">
        <v>2006</v>
      </c>
      <c r="B15" s="549">
        <v>127</v>
      </c>
      <c r="C15" s="324">
        <f>-40+0.2</f>
        <v>-39.799999999999997</v>
      </c>
      <c r="D15" s="337">
        <f t="shared" si="0"/>
        <v>166.8</v>
      </c>
      <c r="E15" s="549">
        <v>172.2</v>
      </c>
      <c r="F15" s="324">
        <v>0.5</v>
      </c>
      <c r="G15" s="568">
        <v>170</v>
      </c>
      <c r="H15" s="580">
        <f t="shared" si="1"/>
        <v>171.7</v>
      </c>
      <c r="I15" s="549">
        <f t="shared" si="2"/>
        <v>-4.8999999999999773</v>
      </c>
      <c r="J15" s="552">
        <f t="shared" si="3"/>
        <v>-2.9376498800959095E-2</v>
      </c>
      <c r="K15" s="113" t="s">
        <v>388</v>
      </c>
      <c r="L15" s="56"/>
      <c r="M15" s="57"/>
    </row>
    <row r="16" spans="1:13" s="33" customFormat="1" ht="25.5" customHeight="1" x14ac:dyDescent="0.2">
      <c r="A16" s="118">
        <v>2007</v>
      </c>
      <c r="B16" s="565">
        <v>184.99199999999999</v>
      </c>
      <c r="C16" s="566">
        <f>22.008+0.7</f>
        <v>22.707999999999998</v>
      </c>
      <c r="D16" s="567">
        <f t="shared" si="0"/>
        <v>162.28399999999999</v>
      </c>
      <c r="E16" s="565">
        <v>202.3</v>
      </c>
      <c r="F16" s="566">
        <f>22+3</f>
        <v>25</v>
      </c>
      <c r="G16" s="568">
        <v>170</v>
      </c>
      <c r="H16" s="580">
        <f t="shared" si="1"/>
        <v>177.3</v>
      </c>
      <c r="I16" s="565">
        <f t="shared" si="2"/>
        <v>-15.01600000000002</v>
      </c>
      <c r="J16" s="570">
        <f t="shared" si="3"/>
        <v>-9.2529146434645562E-2</v>
      </c>
      <c r="K16" s="119" t="s">
        <v>389</v>
      </c>
      <c r="L16" s="62"/>
      <c r="M16" s="63"/>
    </row>
    <row r="17" spans="1:13" s="34" customFormat="1" ht="25.5" customHeight="1" x14ac:dyDescent="0.2">
      <c r="A17" s="114">
        <v>2008</v>
      </c>
      <c r="B17" s="553">
        <v>195.7</v>
      </c>
      <c r="C17" s="554">
        <f>0.3+1.7+6.3</f>
        <v>8.3000000000000007</v>
      </c>
      <c r="D17" s="555">
        <f t="shared" si="0"/>
        <v>187.39999999999998</v>
      </c>
      <c r="E17" s="553">
        <v>204.5</v>
      </c>
      <c r="F17" s="554">
        <f>1+3</f>
        <v>4</v>
      </c>
      <c r="G17" s="556">
        <v>170</v>
      </c>
      <c r="H17" s="581">
        <f t="shared" si="1"/>
        <v>200.5</v>
      </c>
      <c r="I17" s="553">
        <f t="shared" si="2"/>
        <v>-13.100000000000023</v>
      </c>
      <c r="J17" s="558">
        <f t="shared" si="3"/>
        <v>-6.9903948772678887E-2</v>
      </c>
      <c r="K17" s="115" t="s">
        <v>106</v>
      </c>
      <c r="L17" s="60"/>
      <c r="M17" s="61"/>
    </row>
    <row r="18" spans="1:13" s="34" customFormat="1" ht="25.5" customHeight="1" x14ac:dyDescent="0.2">
      <c r="A18" s="116">
        <v>2009</v>
      </c>
      <c r="B18" s="559">
        <v>177</v>
      </c>
      <c r="C18" s="560">
        <f>4.3+1.5-25+8.3</f>
        <v>-10.899999999999999</v>
      </c>
      <c r="D18" s="561">
        <f t="shared" si="0"/>
        <v>187.9</v>
      </c>
      <c r="E18" s="559">
        <v>221.9</v>
      </c>
      <c r="F18" s="560">
        <f>9.5-0.3+8.8</f>
        <v>18</v>
      </c>
      <c r="G18" s="562">
        <v>200</v>
      </c>
      <c r="H18" s="580">
        <f>E18-F18</f>
        <v>203.9</v>
      </c>
      <c r="I18" s="582">
        <f t="shared" si="2"/>
        <v>-16</v>
      </c>
      <c r="J18" s="564">
        <f t="shared" si="3"/>
        <v>-8.5151676423629585E-2</v>
      </c>
      <c r="K18" s="117" t="s">
        <v>390</v>
      </c>
      <c r="L18" s="61"/>
      <c r="M18" s="61"/>
    </row>
    <row r="19" spans="1:13" s="33" customFormat="1" ht="13.5" customHeight="1" x14ac:dyDescent="0.2">
      <c r="A19" s="124">
        <v>2010</v>
      </c>
      <c r="B19" s="583">
        <v>217.3</v>
      </c>
      <c r="C19" s="584">
        <v>11.993</v>
      </c>
      <c r="D19" s="567">
        <f t="shared" si="0"/>
        <v>205.30700000000002</v>
      </c>
      <c r="E19" s="583">
        <v>237.3</v>
      </c>
      <c r="F19" s="584">
        <f>4.6+8.8</f>
        <v>13.4</v>
      </c>
      <c r="G19" s="998" t="s">
        <v>387</v>
      </c>
      <c r="H19" s="569">
        <f t="shared" si="1"/>
        <v>223.9</v>
      </c>
      <c r="I19" s="585">
        <f t="shared" si="2"/>
        <v>-18.592999999999989</v>
      </c>
      <c r="J19" s="586">
        <f t="shared" si="3"/>
        <v>-9.0561938949962673E-2</v>
      </c>
      <c r="K19" s="125" t="s">
        <v>63</v>
      </c>
      <c r="L19" s="63"/>
      <c r="M19" s="63"/>
    </row>
    <row r="20" spans="1:13" s="33" customFormat="1" ht="13.5" customHeight="1" x14ac:dyDescent="0.2">
      <c r="A20" s="124">
        <v>2011</v>
      </c>
      <c r="B20" s="583">
        <v>203.7</v>
      </c>
      <c r="C20" s="584">
        <v>7.7</v>
      </c>
      <c r="D20" s="587">
        <f t="shared" si="0"/>
        <v>196</v>
      </c>
      <c r="E20" s="583">
        <v>223.25299999999999</v>
      </c>
      <c r="F20" s="584">
        <v>12.5</v>
      </c>
      <c r="G20" s="999"/>
      <c r="H20" s="569">
        <f t="shared" si="1"/>
        <v>210.75299999999999</v>
      </c>
      <c r="I20" s="585">
        <f t="shared" si="2"/>
        <v>-14.752999999999986</v>
      </c>
      <c r="J20" s="586">
        <f t="shared" si="3"/>
        <v>-7.5270408163265232E-2</v>
      </c>
      <c r="K20" s="125" t="s">
        <v>107</v>
      </c>
      <c r="L20" s="63"/>
      <c r="M20" s="63"/>
    </row>
    <row r="21" spans="1:13" s="33" customFormat="1" ht="25.5" customHeight="1" x14ac:dyDescent="0.2">
      <c r="A21" s="126">
        <v>2012</v>
      </c>
      <c r="B21" s="588">
        <v>274.39999999999998</v>
      </c>
      <c r="C21" s="589">
        <f>4.246+6.085-1.279+0.715-0.941-0.014+5+86</f>
        <v>99.811999999999998</v>
      </c>
      <c r="D21" s="590">
        <f t="shared" si="0"/>
        <v>174.58799999999997</v>
      </c>
      <c r="E21" s="588">
        <v>217.7</v>
      </c>
      <c r="F21" s="589">
        <f>4.44+9.04-1.369+2.1-0.86-1.1+6.5</f>
        <v>18.751000000000001</v>
      </c>
      <c r="G21" s="574">
        <v>200</v>
      </c>
      <c r="H21" s="575">
        <f t="shared" si="1"/>
        <v>198.94899999999998</v>
      </c>
      <c r="I21" s="591">
        <f t="shared" si="2"/>
        <v>-24.361000000000018</v>
      </c>
      <c r="J21" s="592">
        <f t="shared" si="3"/>
        <v>-0.13953421770110216</v>
      </c>
      <c r="K21" s="127" t="s">
        <v>59</v>
      </c>
      <c r="L21" s="63"/>
      <c r="M21" s="63"/>
    </row>
    <row r="22" spans="1:13" s="3" customFormat="1" ht="13.5" customHeight="1" x14ac:dyDescent="0.2">
      <c r="A22" s="71">
        <v>2013</v>
      </c>
      <c r="B22" s="314">
        <v>160.80000000000001</v>
      </c>
      <c r="C22" s="593">
        <f>0.44+3.35-2.182+0.808-0.861+0.061</f>
        <v>1.6160000000000003</v>
      </c>
      <c r="D22" s="357">
        <f t="shared" si="0"/>
        <v>159.184</v>
      </c>
      <c r="E22" s="314">
        <v>207.7</v>
      </c>
      <c r="F22" s="593">
        <v>16.7</v>
      </c>
      <c r="G22" s="577">
        <v>200</v>
      </c>
      <c r="H22" s="578">
        <f t="shared" si="1"/>
        <v>191</v>
      </c>
      <c r="I22" s="594">
        <f t="shared" si="2"/>
        <v>-31.816000000000003</v>
      </c>
      <c r="J22" s="595">
        <f t="shared" si="3"/>
        <v>-0.19986933360136699</v>
      </c>
      <c r="K22" s="128" t="s">
        <v>108</v>
      </c>
      <c r="L22" s="59"/>
      <c r="M22" s="59"/>
    </row>
    <row r="23" spans="1:13" s="33" customFormat="1" ht="25.5" customHeight="1" x14ac:dyDescent="0.2">
      <c r="A23" s="124">
        <v>2014</v>
      </c>
      <c r="B23" s="583">
        <v>128</v>
      </c>
      <c r="C23" s="584">
        <f>0.438+3.517-2.225+0.518-0.866+0.499+3.501</f>
        <v>5.3819999999999997</v>
      </c>
      <c r="D23" s="567">
        <f t="shared" si="0"/>
        <v>122.61799999999999</v>
      </c>
      <c r="E23" s="583">
        <v>191.5</v>
      </c>
      <c r="F23" s="584">
        <v>12.7</v>
      </c>
      <c r="G23" s="568">
        <v>200</v>
      </c>
      <c r="H23" s="569">
        <f t="shared" si="1"/>
        <v>178.8</v>
      </c>
      <c r="I23" s="585">
        <f t="shared" si="2"/>
        <v>-56.182000000000016</v>
      </c>
      <c r="J23" s="586">
        <f t="shared" si="3"/>
        <v>-0.45818721558009445</v>
      </c>
      <c r="K23" s="125" t="s">
        <v>109</v>
      </c>
      <c r="L23" s="62"/>
      <c r="M23" s="63"/>
    </row>
    <row r="24" spans="1:13" s="33" customFormat="1" ht="25.5" customHeight="1" x14ac:dyDescent="0.2">
      <c r="A24" s="124">
        <v>2015</v>
      </c>
      <c r="B24" s="583">
        <v>163.30000000000001</v>
      </c>
      <c r="C24" s="584">
        <f>0.002+2.845-2.115+0.463-0.88+8.409+3.053</f>
        <v>11.777000000000001</v>
      </c>
      <c r="D24" s="567">
        <f t="shared" si="0"/>
        <v>151.52300000000002</v>
      </c>
      <c r="E24" s="583">
        <v>207.7</v>
      </c>
      <c r="F24" s="584">
        <v>22.7</v>
      </c>
      <c r="G24" s="568">
        <v>200</v>
      </c>
      <c r="H24" s="569">
        <f t="shared" si="1"/>
        <v>185</v>
      </c>
      <c r="I24" s="585">
        <f t="shared" si="2"/>
        <v>-33.476999999999975</v>
      </c>
      <c r="J24" s="586">
        <f t="shared" si="3"/>
        <v>-0.22093675547606614</v>
      </c>
      <c r="K24" s="125" t="s">
        <v>64</v>
      </c>
      <c r="L24" s="62"/>
      <c r="M24" s="63"/>
    </row>
    <row r="25" spans="1:13" s="33" customFormat="1" ht="25.5" customHeight="1" x14ac:dyDescent="0.2">
      <c r="A25" s="129">
        <v>2016</v>
      </c>
      <c r="B25" s="596">
        <v>207.2</v>
      </c>
      <c r="C25" s="597">
        <f>0.4+4.7+0.27+1.6+4.5+0.8</f>
        <v>12.270000000000001</v>
      </c>
      <c r="D25" s="555">
        <f t="shared" si="0"/>
        <v>194.92999999999998</v>
      </c>
      <c r="E25" s="596">
        <v>247.2</v>
      </c>
      <c r="F25" s="597">
        <v>51</v>
      </c>
      <c r="G25" s="556">
        <v>200</v>
      </c>
      <c r="H25" s="557">
        <f t="shared" si="1"/>
        <v>196.2</v>
      </c>
      <c r="I25" s="596">
        <f t="shared" si="2"/>
        <v>-1.2700000000000102</v>
      </c>
      <c r="J25" s="598">
        <f t="shared" si="3"/>
        <v>-6.5151592879495734E-3</v>
      </c>
      <c r="K25" s="130" t="s">
        <v>65</v>
      </c>
      <c r="L25" s="62"/>
      <c r="M25" s="63"/>
    </row>
    <row r="26" spans="1:13" s="33" customFormat="1" ht="25.5" customHeight="1" x14ac:dyDescent="0.2">
      <c r="A26" s="131">
        <v>2017</v>
      </c>
      <c r="B26" s="599">
        <v>221.4</v>
      </c>
      <c r="C26" s="600">
        <v>95</v>
      </c>
      <c r="D26" s="561">
        <f t="shared" si="0"/>
        <v>126.4</v>
      </c>
      <c r="E26" s="599">
        <v>273.7</v>
      </c>
      <c r="F26" s="600">
        <v>117.1</v>
      </c>
      <c r="G26" s="562">
        <v>160</v>
      </c>
      <c r="H26" s="563">
        <f t="shared" si="1"/>
        <v>156.6</v>
      </c>
      <c r="I26" s="599">
        <f t="shared" si="2"/>
        <v>-30.199999999999989</v>
      </c>
      <c r="J26" s="601">
        <f t="shared" si="3"/>
        <v>-0.23892405063291128</v>
      </c>
      <c r="K26" s="132" t="s">
        <v>147</v>
      </c>
      <c r="L26" s="62"/>
      <c r="M26" s="63"/>
    </row>
    <row r="27" spans="1:13" s="34" customFormat="1" ht="25.5" customHeight="1" x14ac:dyDescent="0.2">
      <c r="A27" s="118">
        <v>2018</v>
      </c>
      <c r="B27" s="565">
        <v>239.7</v>
      </c>
      <c r="C27" s="566">
        <v>105.1</v>
      </c>
      <c r="D27" s="567">
        <f t="shared" si="0"/>
        <v>134.6</v>
      </c>
      <c r="E27" s="565">
        <v>292.923</v>
      </c>
      <c r="F27" s="566">
        <v>137.9</v>
      </c>
      <c r="G27" s="568">
        <v>160</v>
      </c>
      <c r="H27" s="569">
        <f t="shared" si="1"/>
        <v>155.023</v>
      </c>
      <c r="I27" s="565">
        <f t="shared" si="2"/>
        <v>-20.423000000000002</v>
      </c>
      <c r="J27" s="570">
        <f t="shared" si="3"/>
        <v>-0.15173105497771175</v>
      </c>
      <c r="K27" s="119" t="s">
        <v>148</v>
      </c>
      <c r="L27" s="60"/>
      <c r="M27" s="61"/>
    </row>
    <row r="28" spans="1:13" s="34" customFormat="1" ht="36" customHeight="1" x14ac:dyDescent="0.2">
      <c r="A28" s="118">
        <v>2019</v>
      </c>
      <c r="B28" s="565">
        <v>227.1</v>
      </c>
      <c r="C28" s="566">
        <v>106.5</v>
      </c>
      <c r="D28" s="567">
        <f t="shared" ref="D28" si="4">B28-C28</f>
        <v>120.6</v>
      </c>
      <c r="E28" s="565">
        <v>302.39999999999998</v>
      </c>
      <c r="F28" s="566">
        <v>143.19999999999999</v>
      </c>
      <c r="G28" s="568">
        <v>160</v>
      </c>
      <c r="H28" s="569">
        <f t="shared" ref="H28:H31" si="5">E28-F28</f>
        <v>159.19999999999999</v>
      </c>
      <c r="I28" s="565">
        <f t="shared" ref="I28" si="6">D28-H28</f>
        <v>-38.599999999999994</v>
      </c>
      <c r="J28" s="570">
        <f t="shared" ref="J28" si="7">I28/D28</f>
        <v>-0.32006633499170811</v>
      </c>
      <c r="K28" s="119" t="s">
        <v>149</v>
      </c>
      <c r="L28" s="60"/>
      <c r="M28" s="61"/>
    </row>
    <row r="29" spans="1:13" s="34" customFormat="1" ht="36" customHeight="1" x14ac:dyDescent="0.2">
      <c r="A29" s="114">
        <v>2020</v>
      </c>
      <c r="B29" s="553">
        <v>200.48964899999999</v>
      </c>
      <c r="C29" s="554">
        <v>77.400000000000006</v>
      </c>
      <c r="D29" s="555">
        <f t="shared" ref="D29:D31" si="8">B29-C29</f>
        <v>123.08964899999998</v>
      </c>
      <c r="E29" s="553">
        <v>290.05</v>
      </c>
      <c r="F29" s="554">
        <v>124.08199999999999</v>
      </c>
      <c r="G29" s="556">
        <v>160</v>
      </c>
      <c r="H29" s="581">
        <f t="shared" ref="H29" si="9">E29-F29</f>
        <v>165.96800000000002</v>
      </c>
      <c r="I29" s="553">
        <f>D29-H29</f>
        <v>-42.878351000000038</v>
      </c>
      <c r="J29" s="558">
        <f t="shared" ref="J29:J31" si="10">I29/D29</f>
        <v>-0.34835058307786743</v>
      </c>
      <c r="K29" s="115" t="s">
        <v>110</v>
      </c>
      <c r="L29" s="60"/>
      <c r="M29" s="61"/>
    </row>
    <row r="30" spans="1:13" s="34" customFormat="1" ht="13.5" customHeight="1" x14ac:dyDescent="0.2">
      <c r="A30" s="122">
        <v>2021</v>
      </c>
      <c r="B30" s="355">
        <v>189.397232</v>
      </c>
      <c r="C30" s="356">
        <v>51.397089000000001</v>
      </c>
      <c r="D30" s="357">
        <f t="shared" si="8"/>
        <v>138.00014300000001</v>
      </c>
      <c r="E30" s="355">
        <v>271.63299999999998</v>
      </c>
      <c r="F30" s="356">
        <v>101.66500000000001</v>
      </c>
      <c r="G30" s="577">
        <v>170</v>
      </c>
      <c r="H30" s="578">
        <f t="shared" si="5"/>
        <v>169.96799999999996</v>
      </c>
      <c r="I30" s="355">
        <f>D30-H30</f>
        <v>-31.967856999999952</v>
      </c>
      <c r="J30" s="579">
        <f t="shared" si="10"/>
        <v>-0.23165089763711297</v>
      </c>
      <c r="K30" s="142" t="s">
        <v>418</v>
      </c>
      <c r="L30" s="60"/>
      <c r="M30" s="61"/>
    </row>
    <row r="31" spans="1:13" s="34" customFormat="1" ht="13.5" customHeight="1" x14ac:dyDescent="0.2">
      <c r="A31" s="120">
        <v>2022</v>
      </c>
      <c r="B31" s="571">
        <v>196.36730925999998</v>
      </c>
      <c r="C31" s="572">
        <v>62.954194999999999</v>
      </c>
      <c r="D31" s="573">
        <f t="shared" si="8"/>
        <v>133.41311425999999</v>
      </c>
      <c r="E31" s="571">
        <v>280.71300000000002</v>
      </c>
      <c r="F31" s="572">
        <v>112.741</v>
      </c>
      <c r="G31" s="574">
        <v>170</v>
      </c>
      <c r="H31" s="575">
        <f t="shared" si="5"/>
        <v>167.97200000000004</v>
      </c>
      <c r="I31" s="565">
        <f t="shared" ref="I31" si="11">D31-H31</f>
        <v>-34.558885740000051</v>
      </c>
      <c r="J31" s="570">
        <f t="shared" si="10"/>
        <v>-0.25903664667215942</v>
      </c>
      <c r="K31" s="262" t="s">
        <v>467</v>
      </c>
      <c r="L31" s="60"/>
      <c r="M31" s="61"/>
    </row>
    <row r="32" spans="1:13" s="34" customFormat="1" ht="13.5" customHeight="1" x14ac:dyDescent="0.2">
      <c r="A32" s="120">
        <v>2023</v>
      </c>
      <c r="B32" s="571">
        <v>242.46214422</v>
      </c>
      <c r="C32" s="572">
        <v>93.462441219999988</v>
      </c>
      <c r="D32" s="573">
        <v>148.99970300000001</v>
      </c>
      <c r="E32" s="571">
        <v>301.072</v>
      </c>
      <c r="F32" s="572">
        <v>131.23699999999999</v>
      </c>
      <c r="G32" s="574">
        <v>170</v>
      </c>
      <c r="H32" s="575">
        <f>E32-F32</f>
        <v>169.83500000000001</v>
      </c>
      <c r="I32" s="565">
        <f t="shared" ref="I32" si="12">D32-H32</f>
        <v>-20.835296999999997</v>
      </c>
      <c r="J32" s="570">
        <f t="shared" ref="J32" si="13">I32/D32</f>
        <v>-0.13983448678417831</v>
      </c>
      <c r="K32" s="262" t="s">
        <v>464</v>
      </c>
      <c r="L32" s="60"/>
      <c r="M32" s="61"/>
    </row>
    <row r="33" spans="1:13" s="34" customFormat="1" ht="13.5" customHeight="1" x14ac:dyDescent="0.2">
      <c r="A33" s="118">
        <v>2024</v>
      </c>
      <c r="B33" s="565">
        <v>258.89324199999999</v>
      </c>
      <c r="C33" s="566">
        <v>100.94262772</v>
      </c>
      <c r="D33" s="567">
        <v>157.95061430999999</v>
      </c>
      <c r="E33" s="565">
        <v>309.67099999999999</v>
      </c>
      <c r="F33" s="572">
        <f t="shared" ref="F33" si="14">E33-H33</f>
        <v>139.75200000000001</v>
      </c>
      <c r="G33" s="568">
        <v>170</v>
      </c>
      <c r="H33" s="569">
        <v>169.91899999999998</v>
      </c>
      <c r="I33" s="565">
        <v>-11.968385689999991</v>
      </c>
      <c r="J33" s="570">
        <v>-7.5772960695868988E-2</v>
      </c>
      <c r="K33" s="262" t="s">
        <v>528</v>
      </c>
      <c r="L33" s="60"/>
      <c r="M33" s="61"/>
    </row>
    <row r="34" spans="1:13" s="34" customFormat="1" ht="13.5" customHeight="1" x14ac:dyDescent="0.2">
      <c r="A34" s="809">
        <v>2025</v>
      </c>
      <c r="B34" s="810"/>
      <c r="C34" s="811"/>
      <c r="D34" s="812"/>
      <c r="E34" s="818">
        <v>354.13200000000001</v>
      </c>
      <c r="F34" s="572">
        <f>E34-H34</f>
        <v>299.435</v>
      </c>
      <c r="G34" s="822">
        <v>60</v>
      </c>
      <c r="H34" s="820">
        <v>54.696999999999981</v>
      </c>
      <c r="I34" s="810"/>
      <c r="J34" s="813"/>
      <c r="K34" s="262" t="s">
        <v>530</v>
      </c>
      <c r="L34" s="60"/>
      <c r="M34" s="61"/>
    </row>
    <row r="35" spans="1:13" s="34" customFormat="1" ht="13.5" customHeight="1" x14ac:dyDescent="0.2">
      <c r="A35" s="709">
        <v>2026</v>
      </c>
      <c r="B35" s="814"/>
      <c r="C35" s="815"/>
      <c r="D35" s="816"/>
      <c r="E35" s="819">
        <v>373.64699999999999</v>
      </c>
      <c r="F35" s="824">
        <f>E35-H35</f>
        <v>318.80699999999996</v>
      </c>
      <c r="G35" s="823">
        <v>60</v>
      </c>
      <c r="H35" s="821">
        <v>54.840000000000018</v>
      </c>
      <c r="I35" s="814"/>
      <c r="J35" s="817"/>
      <c r="K35" s="825" t="s">
        <v>529</v>
      </c>
      <c r="L35" s="60"/>
      <c r="M35" s="61"/>
    </row>
    <row r="36" spans="1:13" s="31" customFormat="1" ht="4.5" customHeight="1" x14ac:dyDescent="0.2">
      <c r="K36" s="45"/>
    </row>
    <row r="37" spans="1:13" ht="15" x14ac:dyDescent="0.2">
      <c r="A37" s="16" t="s">
        <v>68</v>
      </c>
    </row>
    <row r="38" spans="1:13" ht="15" x14ac:dyDescent="0.2">
      <c r="A38" s="16" t="s">
        <v>71</v>
      </c>
    </row>
    <row r="39" spans="1:13" ht="15" x14ac:dyDescent="0.2">
      <c r="A39" s="16" t="s">
        <v>70</v>
      </c>
    </row>
    <row r="40" spans="1:13" ht="15" x14ac:dyDescent="0.2">
      <c r="A40" s="36" t="s">
        <v>465</v>
      </c>
      <c r="B40" s="6"/>
      <c r="C40" s="6"/>
      <c r="D40" s="6"/>
      <c r="E40" s="6"/>
    </row>
    <row r="41" spans="1:13" ht="15" x14ac:dyDescent="0.2">
      <c r="A41" s="36" t="s">
        <v>466</v>
      </c>
      <c r="B41" s="6"/>
      <c r="C41" s="6"/>
      <c r="D41" s="6"/>
      <c r="E41" s="6"/>
    </row>
    <row r="42" spans="1:13" ht="4.5" customHeight="1" x14ac:dyDescent="0.2"/>
    <row r="43" spans="1:13" s="24" customFormat="1" ht="25.5" customHeight="1" x14ac:dyDescent="0.2">
      <c r="A43" s="265" t="s">
        <v>536</v>
      </c>
      <c r="B43" s="841">
        <f t="shared" ref="B43:J43" si="15">AVERAGE(B6:B21)</f>
        <v>197.04828212500001</v>
      </c>
      <c r="C43" s="449">
        <f t="shared" si="15"/>
        <v>29.861687500000006</v>
      </c>
      <c r="D43" s="449">
        <f t="shared" si="15"/>
        <v>167.186594625</v>
      </c>
      <c r="E43" s="449">
        <f t="shared" si="15"/>
        <v>211.08443750000001</v>
      </c>
      <c r="F43" s="449">
        <f t="shared" si="15"/>
        <v>30.247499999999999</v>
      </c>
      <c r="G43" s="449">
        <f t="shared" si="15"/>
        <v>184.28571428571428</v>
      </c>
      <c r="H43" s="449">
        <f t="shared" si="15"/>
        <v>180.83693750000003</v>
      </c>
      <c r="I43" s="449">
        <f t="shared" si="15"/>
        <v>-13.650342875000007</v>
      </c>
      <c r="J43" s="842">
        <f t="shared" si="15"/>
        <v>-8.0733175276580013E-2</v>
      </c>
      <c r="K43" s="274"/>
      <c r="L43" s="275"/>
      <c r="M43" s="143"/>
    </row>
    <row r="44" spans="1:13" s="24" customFormat="1" ht="25.5" customHeight="1" x14ac:dyDescent="0.2">
      <c r="A44" s="267" t="s">
        <v>537</v>
      </c>
      <c r="B44" s="501"/>
      <c r="C44" s="433"/>
      <c r="D44" s="433"/>
      <c r="E44" s="433">
        <f>AVERAGE(E22:E35)</f>
        <v>278.86007142857142</v>
      </c>
      <c r="F44" s="433">
        <f>AVERAGE(F22:F35)</f>
        <v>123.50135714285715</v>
      </c>
      <c r="G44" s="433">
        <f>AVERAGE(G22:G35)</f>
        <v>160</v>
      </c>
      <c r="H44" s="433">
        <f>AVERAGE(H22:H35)</f>
        <v>155.35871428571431</v>
      </c>
      <c r="I44" s="433"/>
      <c r="J44" s="515"/>
      <c r="K44" s="276"/>
      <c r="L44" s="275"/>
      <c r="M44" s="143"/>
    </row>
    <row r="45" spans="1:13" s="24" customFormat="1" ht="25.5" customHeight="1" x14ac:dyDescent="0.2">
      <c r="A45" s="269" t="s">
        <v>538</v>
      </c>
      <c r="B45" s="838"/>
      <c r="C45" s="445"/>
      <c r="D45" s="445"/>
      <c r="E45" s="445">
        <f>AVERAGE(E6:E35)</f>
        <v>242.71306666666663</v>
      </c>
      <c r="F45" s="445">
        <f>AVERAGE(F6:F35)</f>
        <v>73.765966666666657</v>
      </c>
      <c r="G45" s="445">
        <f>AVERAGE(G6:G35)</f>
        <v>172.14285714285714</v>
      </c>
      <c r="H45" s="445">
        <f>AVERAGE(H6:H35)</f>
        <v>168.94710000000001</v>
      </c>
      <c r="I45" s="445"/>
      <c r="J45" s="522"/>
      <c r="K45" s="277"/>
      <c r="L45" s="275"/>
      <c r="M45" s="143"/>
    </row>
    <row r="46" spans="1:13" s="140" customFormat="1" ht="4.5" customHeight="1" x14ac:dyDescent="0.2">
      <c r="A46" s="278"/>
      <c r="B46" s="279"/>
      <c r="C46" s="279"/>
      <c r="D46" s="279"/>
      <c r="E46" s="279"/>
      <c r="F46" s="279"/>
      <c r="G46" s="279"/>
      <c r="H46" s="279"/>
      <c r="I46" s="279"/>
      <c r="J46" s="280"/>
      <c r="K46" s="279"/>
      <c r="L46" s="281"/>
      <c r="M46" s="141"/>
    </row>
    <row r="47" spans="1:13" s="145" customFormat="1" x14ac:dyDescent="0.2">
      <c r="A47" s="991" t="s">
        <v>87</v>
      </c>
      <c r="B47" s="997"/>
      <c r="C47" s="997"/>
      <c r="D47" s="997"/>
      <c r="E47" s="997"/>
      <c r="F47" s="997"/>
      <c r="G47" s="997"/>
      <c r="H47" s="997"/>
      <c r="I47" s="997"/>
      <c r="J47" s="997"/>
      <c r="K47" s="997"/>
      <c r="L47" s="997"/>
      <c r="M47" s="144"/>
    </row>
    <row r="48" spans="1:13" s="25" customFormat="1" ht="25.5" customHeight="1" x14ac:dyDescent="0.2">
      <c r="A48" s="265" t="s">
        <v>348</v>
      </c>
      <c r="B48" s="498">
        <f>AVERAGE(B14:B17)</f>
        <v>259.298</v>
      </c>
      <c r="C48" s="449">
        <f>AVERAGE(C14:C17)</f>
        <v>93.402000000000001</v>
      </c>
      <c r="D48" s="449">
        <f t="shared" ref="D48:I48" si="16">AVERAGE(D14:D17)</f>
        <v>165.89599999999999</v>
      </c>
      <c r="E48" s="449">
        <f t="shared" si="16"/>
        <v>284.52499999999998</v>
      </c>
      <c r="F48" s="449">
        <f t="shared" si="16"/>
        <v>107.625</v>
      </c>
      <c r="G48" s="449">
        <f t="shared" ref="G48" si="17">AVERAGE(G14:G17)</f>
        <v>170</v>
      </c>
      <c r="H48" s="449">
        <f t="shared" si="16"/>
        <v>176.9</v>
      </c>
      <c r="I48" s="449">
        <f t="shared" si="16"/>
        <v>-11.004000000000019</v>
      </c>
      <c r="J48" s="710">
        <f>AVERAGE(J14:J17)</f>
        <v>-6.6647163967740591E-2</v>
      </c>
      <c r="K48" s="711"/>
      <c r="L48" s="271"/>
      <c r="M48" s="271"/>
    </row>
    <row r="49" spans="1:13" s="24" customFormat="1" ht="25.5" customHeight="1" x14ac:dyDescent="0.2">
      <c r="A49" s="267" t="s">
        <v>88</v>
      </c>
      <c r="B49" s="368">
        <f>AVERAGE(B18:B21)</f>
        <v>218.1</v>
      </c>
      <c r="C49" s="433">
        <f>AVERAGE(C18:C21)</f>
        <v>27.151250000000001</v>
      </c>
      <c r="D49" s="433">
        <f t="shared" ref="D49:I49" si="18">AVERAGE(D18:D21)</f>
        <v>190.94874999999999</v>
      </c>
      <c r="E49" s="433">
        <f t="shared" si="18"/>
        <v>225.03825000000001</v>
      </c>
      <c r="F49" s="433">
        <f t="shared" si="18"/>
        <v>15.662749999999999</v>
      </c>
      <c r="G49" s="433">
        <f t="shared" ref="G49" si="19">AVERAGE(G18:G21)</f>
        <v>200</v>
      </c>
      <c r="H49" s="433">
        <f t="shared" si="18"/>
        <v>209.37549999999999</v>
      </c>
      <c r="I49" s="433">
        <f t="shared" si="18"/>
        <v>-18.426749999999998</v>
      </c>
      <c r="J49" s="538">
        <f>AVERAGE(J18:J21)</f>
        <v>-9.762956030948991E-2</v>
      </c>
      <c r="K49" s="282"/>
      <c r="L49" s="271"/>
      <c r="M49" s="46"/>
    </row>
    <row r="50" spans="1:13" s="24" customFormat="1" ht="25.5" customHeight="1" x14ac:dyDescent="0.2">
      <c r="A50" s="267" t="s">
        <v>89</v>
      </c>
      <c r="B50" s="368">
        <f>AVERAGE(B22:B25)</f>
        <v>164.82499999999999</v>
      </c>
      <c r="C50" s="433">
        <f t="shared" ref="C50:I50" si="20">AVERAGE(C22:C25)</f>
        <v>7.7612500000000004</v>
      </c>
      <c r="D50" s="433">
        <f>AVERAGE(D22:D25)</f>
        <v>157.06375</v>
      </c>
      <c r="E50" s="433">
        <f t="shared" si="20"/>
        <v>213.52499999999998</v>
      </c>
      <c r="F50" s="433">
        <f t="shared" si="20"/>
        <v>25.774999999999999</v>
      </c>
      <c r="G50" s="433">
        <f t="shared" ref="G50" si="21">AVERAGE(G22:G25)</f>
        <v>200</v>
      </c>
      <c r="H50" s="433">
        <f t="shared" si="20"/>
        <v>187.75</v>
      </c>
      <c r="I50" s="433">
        <f t="shared" si="20"/>
        <v>-30.686250000000001</v>
      </c>
      <c r="J50" s="538">
        <f>AVERAGE(J22:J25)</f>
        <v>-0.22137711598636928</v>
      </c>
      <c r="K50" s="282"/>
      <c r="L50" s="271"/>
      <c r="M50" s="46"/>
    </row>
    <row r="51" spans="1:13" s="24" customFormat="1" ht="25.5" customHeight="1" x14ac:dyDescent="0.2">
      <c r="A51" s="272" t="s">
        <v>90</v>
      </c>
      <c r="B51" s="368">
        <f>AVERAGE(B26:B29)</f>
        <v>222.17241225000001</v>
      </c>
      <c r="C51" s="433">
        <f t="shared" ref="C51:H51" si="22">AVERAGE(C26:C29)</f>
        <v>96</v>
      </c>
      <c r="D51" s="433">
        <f t="shared" si="22"/>
        <v>126.17241225000001</v>
      </c>
      <c r="E51" s="433">
        <f>AVERAGE(E26:E29)</f>
        <v>289.76825000000002</v>
      </c>
      <c r="F51" s="433">
        <f t="shared" si="22"/>
        <v>130.57049999999998</v>
      </c>
      <c r="G51" s="433">
        <f>AVERAGE(G26:G29)</f>
        <v>160</v>
      </c>
      <c r="H51" s="433">
        <f t="shared" si="22"/>
        <v>159.19774999999998</v>
      </c>
      <c r="I51" s="433">
        <f>AVERAGE(I26:I29)</f>
        <v>-33.025337750000006</v>
      </c>
      <c r="J51" s="515">
        <f>AVERAGE(J26:J29)</f>
        <v>-0.26476800592004962</v>
      </c>
      <c r="K51" s="283"/>
      <c r="L51" s="271"/>
      <c r="M51" s="46"/>
    </row>
    <row r="52" spans="1:13" s="24" customFormat="1" ht="25.5" customHeight="1" x14ac:dyDescent="0.2">
      <c r="A52" s="272" t="s">
        <v>150</v>
      </c>
      <c r="B52" s="368">
        <f>AVERAGE(B30:B33)</f>
        <v>221.77998187</v>
      </c>
      <c r="C52" s="368">
        <f t="shared" ref="C52:D52" si="23">AVERAGE(C30:C33)</f>
        <v>77.189088235</v>
      </c>
      <c r="D52" s="368">
        <f t="shared" si="23"/>
        <v>144.59089364250002</v>
      </c>
      <c r="E52" s="433">
        <f>AVERAGE(E30:E33)</f>
        <v>290.77224999999999</v>
      </c>
      <c r="F52" s="433">
        <f t="shared" ref="F52:G52" si="24">AVERAGE(F30:F33)</f>
        <v>121.34875000000001</v>
      </c>
      <c r="G52" s="430">
        <f t="shared" si="24"/>
        <v>170</v>
      </c>
      <c r="H52" s="430">
        <f>AVERAGE(H30:H33)</f>
        <v>169.42349999999999</v>
      </c>
      <c r="I52" s="433">
        <f>AVERAGE(I30:I33)</f>
        <v>-24.832606357499998</v>
      </c>
      <c r="J52" s="515">
        <f>AVERAGE(J30:J33)</f>
        <v>-0.17657374794732994</v>
      </c>
      <c r="K52" s="283"/>
      <c r="L52" s="271"/>
      <c r="M52" s="46"/>
    </row>
    <row r="53" spans="1:13" s="624" customFormat="1" ht="25.5" customHeight="1" x14ac:dyDescent="0.2">
      <c r="A53" s="269" t="s">
        <v>463</v>
      </c>
      <c r="B53" s="517"/>
      <c r="C53" s="445"/>
      <c r="D53" s="445"/>
      <c r="E53" s="430">
        <f>AVERAGE(E34:E35)</f>
        <v>363.8895</v>
      </c>
      <c r="F53" s="430">
        <f t="shared" ref="F53:H53" si="25">AVERAGE(F34:F35)</f>
        <v>309.12099999999998</v>
      </c>
      <c r="G53" s="430">
        <f t="shared" si="25"/>
        <v>60</v>
      </c>
      <c r="H53" s="430">
        <f t="shared" si="25"/>
        <v>54.768500000000003</v>
      </c>
      <c r="I53" s="445"/>
      <c r="J53" s="522"/>
      <c r="K53" s="284"/>
      <c r="L53" s="271"/>
      <c r="M53" s="46"/>
    </row>
  </sheetData>
  <mergeCells count="5">
    <mergeCell ref="B4:D4"/>
    <mergeCell ref="I4:J4"/>
    <mergeCell ref="E4:H4"/>
    <mergeCell ref="A47:L47"/>
    <mergeCell ref="G19:G20"/>
  </mergeCells>
  <hyperlinks>
    <hyperlink ref="K30" r:id="rId1" xr:uid="{00000000-0004-0000-0700-000000000000}"/>
    <hyperlink ref="K31" r:id="rId2" display="Ausweis / Herleitung siehe Rechnungsbotschaft 2022, Seite 87" xr:uid="{00000000-0004-0000-0700-000001000000}"/>
    <hyperlink ref="K32" r:id="rId3" display="Ausweis / Herleitung siehe Rechnungsbotschaft 2022, Seite 74" xr:uid="{00000000-0004-0000-0700-000002000000}"/>
    <hyperlink ref="K33" r:id="rId4" display="Ausweis / Herleitung siehe Budgetbotschaft 2024, Seite 85" xr:uid="{00000000-0004-0000-0700-000003000000}"/>
  </hyperlinks>
  <pageMargins left="0.19685039370078741" right="0.19685039370078741" top="0.19685039370078741" bottom="0.39370078740157483" header="0.31496062992125984" footer="0.19685039370078741"/>
  <pageSetup paperSize="8" scale="83" orientation="landscape" r:id="rId5"/>
  <headerFooter>
    <oddFooter>&amp;L&amp;"Arial Narrow,Standard"DFG, 5. Dezember 2024</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fitToPage="1"/>
  </sheetPr>
  <dimension ref="A1:R45"/>
  <sheetViews>
    <sheetView showGridLines="0" view="pageBreakPreview" topLeftCell="D1" zoomScale="145" zoomScaleNormal="150" zoomScaleSheetLayoutView="145" zoomScalePageLayoutView="200" workbookViewId="0">
      <selection activeCell="N8" sqref="N8"/>
    </sheetView>
  </sheetViews>
  <sheetFormatPr baseColWidth="10" defaultColWidth="10.85546875" defaultRowHeight="15" x14ac:dyDescent="0.25"/>
  <cols>
    <col min="1" max="1" width="62" style="245" customWidth="1"/>
    <col min="2" max="2" width="9.42578125" style="305" customWidth="1"/>
    <col min="3" max="7" width="9.42578125" style="246" customWidth="1"/>
    <col min="8" max="12" width="9.42578125" style="247" customWidth="1"/>
    <col min="13" max="16384" width="10.85546875" style="245"/>
  </cols>
  <sheetData>
    <row r="1" spans="1:17" ht="15.75" x14ac:dyDescent="0.25">
      <c r="A1" s="1003" t="s">
        <v>420</v>
      </c>
      <c r="B1" s="1003"/>
      <c r="C1" s="1004"/>
      <c r="D1" s="1004"/>
      <c r="E1" s="1004"/>
      <c r="F1" s="1004"/>
      <c r="G1" s="1004"/>
      <c r="H1" s="1004"/>
      <c r="I1" s="1004"/>
      <c r="J1" s="1004"/>
      <c r="K1" s="1004"/>
      <c r="L1" s="1004"/>
      <c r="M1" s="844"/>
      <c r="N1" s="844"/>
      <c r="O1" s="844"/>
      <c r="P1" s="844"/>
      <c r="Q1" s="844"/>
    </row>
    <row r="2" spans="1:17" ht="54" customHeight="1" x14ac:dyDescent="0.25">
      <c r="A2" s="1005" t="s">
        <v>470</v>
      </c>
      <c r="B2" s="1005"/>
      <c r="C2" s="1006"/>
      <c r="D2" s="1006"/>
      <c r="E2" s="1006"/>
      <c r="F2" s="1006"/>
      <c r="G2" s="1006"/>
      <c r="H2" s="1006"/>
      <c r="I2" s="1006"/>
      <c r="J2" s="1006"/>
      <c r="K2" s="1006"/>
      <c r="L2" s="1006"/>
      <c r="M2" s="848"/>
      <c r="N2" s="848"/>
      <c r="O2" s="848"/>
      <c r="P2" s="848"/>
      <c r="Q2" s="848"/>
    </row>
    <row r="3" spans="1:17" ht="4.5" customHeight="1" x14ac:dyDescent="0.25"/>
    <row r="4" spans="1:17" ht="7.5" customHeight="1" x14ac:dyDescent="0.25">
      <c r="H4" s="263"/>
      <c r="I4" s="263"/>
      <c r="J4" s="263"/>
      <c r="K4" s="263"/>
      <c r="L4" s="263"/>
    </row>
    <row r="5" spans="1:17" s="249" customFormat="1" ht="16.149999999999999" customHeight="1" x14ac:dyDescent="0.2">
      <c r="A5" s="248" t="s">
        <v>406</v>
      </c>
      <c r="B5" s="1009" t="s">
        <v>427</v>
      </c>
      <c r="C5" s="1007" t="s">
        <v>400</v>
      </c>
      <c r="D5" s="1007" t="s">
        <v>401</v>
      </c>
      <c r="E5" s="1007" t="s">
        <v>402</v>
      </c>
      <c r="F5" s="1007" t="s">
        <v>403</v>
      </c>
      <c r="G5" s="1007" t="s">
        <v>404</v>
      </c>
      <c r="H5" s="1000" t="s">
        <v>405</v>
      </c>
      <c r="I5" s="1000" t="s">
        <v>430</v>
      </c>
      <c r="J5" s="1000" t="s">
        <v>468</v>
      </c>
      <c r="K5" s="1000" t="s">
        <v>532</v>
      </c>
      <c r="L5" s="1000" t="s">
        <v>469</v>
      </c>
      <c r="M5" s="1011" t="s">
        <v>531</v>
      </c>
    </row>
    <row r="6" spans="1:17" s="249" customFormat="1" ht="16.7" customHeight="1" x14ac:dyDescent="0.2">
      <c r="A6" s="250" t="s">
        <v>419</v>
      </c>
      <c r="B6" s="1010"/>
      <c r="C6" s="1008"/>
      <c r="D6" s="1008"/>
      <c r="E6" s="1008"/>
      <c r="F6" s="1008"/>
      <c r="G6" s="1008"/>
      <c r="H6" s="1001"/>
      <c r="I6" s="1001"/>
      <c r="J6" s="1001"/>
      <c r="K6" s="1002"/>
      <c r="L6" s="1002"/>
      <c r="M6" s="1012"/>
    </row>
    <row r="7" spans="1:17" s="252" customFormat="1" ht="15.6" customHeight="1" x14ac:dyDescent="0.2">
      <c r="A7" s="251" t="s">
        <v>407</v>
      </c>
      <c r="B7" s="286">
        <f t="shared" ref="B7:L7" si="0">SUM(B8:B10)</f>
        <v>386.18251100000003</v>
      </c>
      <c r="C7" s="285">
        <f t="shared" si="0"/>
        <v>356.21300000000002</v>
      </c>
      <c r="D7" s="285">
        <f t="shared" si="0"/>
        <v>329.419647</v>
      </c>
      <c r="E7" s="285">
        <f t="shared" si="0"/>
        <v>403.06497000000002</v>
      </c>
      <c r="F7" s="285">
        <f t="shared" si="0"/>
        <v>400.17849699999999</v>
      </c>
      <c r="G7" s="285">
        <f t="shared" si="0"/>
        <v>435.26720599999999</v>
      </c>
      <c r="H7" s="286">
        <f t="shared" si="0"/>
        <v>498.36220100000003</v>
      </c>
      <c r="I7" s="286">
        <f t="shared" si="0"/>
        <v>548.31704186000002</v>
      </c>
      <c r="J7" s="286">
        <f t="shared" si="0"/>
        <v>531.78618822999999</v>
      </c>
      <c r="K7" s="285">
        <f t="shared" si="0"/>
        <v>520.4160779</v>
      </c>
      <c r="L7" s="285">
        <f t="shared" si="0"/>
        <v>462.71707789999999</v>
      </c>
      <c r="M7" s="290">
        <f t="shared" ref="M7" si="1">SUM(M8:M10)</f>
        <v>591.58207789999994</v>
      </c>
    </row>
    <row r="8" spans="1:17" s="254" customFormat="1" ht="15.6" customHeight="1" x14ac:dyDescent="0.2">
      <c r="A8" s="255" t="s">
        <v>408</v>
      </c>
      <c r="B8" s="306">
        <v>273.93875700000001</v>
      </c>
      <c r="C8" s="287">
        <v>255.001</v>
      </c>
      <c r="D8" s="287">
        <v>234.84157400000001</v>
      </c>
      <c r="E8" s="287">
        <v>228.091576</v>
      </c>
      <c r="F8" s="287">
        <v>232.25352999999998</v>
      </c>
      <c r="G8" s="287">
        <v>232.45023900000001</v>
      </c>
      <c r="H8" s="287">
        <v>233.975131</v>
      </c>
      <c r="I8" s="287">
        <v>232.22591704999999</v>
      </c>
      <c r="J8" s="287">
        <v>234.25097647000001</v>
      </c>
      <c r="K8" s="287">
        <v>226.34182321</v>
      </c>
      <c r="L8" s="287">
        <v>199.72282321</v>
      </c>
      <c r="M8" s="289">
        <v>359.37982320999998</v>
      </c>
    </row>
    <row r="9" spans="1:17" s="254" customFormat="1" ht="15.6" customHeight="1" x14ac:dyDescent="0.2">
      <c r="A9" s="255" t="s">
        <v>409</v>
      </c>
      <c r="B9" s="306">
        <v>105.212073</v>
      </c>
      <c r="C9" s="287">
        <v>101.212</v>
      </c>
      <c r="D9" s="287">
        <v>94.578073000000003</v>
      </c>
      <c r="E9" s="287">
        <v>174.97339399999998</v>
      </c>
      <c r="F9" s="287">
        <v>167.92496699999998</v>
      </c>
      <c r="G9" s="287">
        <v>202.81696700000001</v>
      </c>
      <c r="H9" s="287">
        <v>264.38706999999999</v>
      </c>
      <c r="I9" s="287">
        <v>316.09112481</v>
      </c>
      <c r="J9" s="287">
        <v>297.53521175999998</v>
      </c>
      <c r="K9" s="287">
        <v>294.07425468999998</v>
      </c>
      <c r="L9" s="287">
        <v>262.99425468999999</v>
      </c>
      <c r="M9" s="289">
        <v>232.20225468999999</v>
      </c>
    </row>
    <row r="10" spans="1:17" s="254" customFormat="1" ht="15.6" customHeight="1" x14ac:dyDescent="0.2">
      <c r="A10" s="255" t="s">
        <v>432</v>
      </c>
      <c r="B10" s="306">
        <v>7.0316809999999998</v>
      </c>
      <c r="C10" s="287"/>
      <c r="D10" s="287"/>
      <c r="E10" s="287"/>
      <c r="F10" s="287"/>
      <c r="G10" s="287"/>
      <c r="H10" s="287"/>
      <c r="I10" s="287"/>
      <c r="J10" s="287"/>
      <c r="K10" s="826"/>
      <c r="L10" s="826"/>
      <c r="M10" s="827"/>
    </row>
    <row r="11" spans="1:17" s="252" customFormat="1" ht="15.6" customHeight="1" x14ac:dyDescent="0.2">
      <c r="A11" s="253" t="s">
        <v>410</v>
      </c>
      <c r="B11" s="286">
        <v>282.99699399999997</v>
      </c>
      <c r="C11" s="285">
        <v>344.92211000000009</v>
      </c>
      <c r="D11" s="285">
        <v>453.47823799999958</v>
      </c>
      <c r="E11" s="285">
        <v>418.2509</v>
      </c>
      <c r="F11" s="285">
        <v>496.08026799999971</v>
      </c>
      <c r="G11" s="285">
        <v>552.22959799999956</v>
      </c>
      <c r="H11" s="285">
        <v>627.83573399999932</v>
      </c>
      <c r="I11" s="285">
        <v>735.65826718999983</v>
      </c>
      <c r="J11" s="285">
        <v>858.00304916999983</v>
      </c>
      <c r="K11" s="285">
        <v>927.41985111000054</v>
      </c>
      <c r="L11" s="285">
        <v>840.18685111000048</v>
      </c>
      <c r="M11" s="290">
        <v>728.83885111000052</v>
      </c>
    </row>
    <row r="12" spans="1:17" s="252" customFormat="1" ht="15.6" customHeight="1" x14ac:dyDescent="0.2">
      <c r="A12" s="256" t="s">
        <v>411</v>
      </c>
      <c r="B12" s="307">
        <f t="shared" ref="B12" si="2">B7+B11</f>
        <v>669.17950500000006</v>
      </c>
      <c r="C12" s="288">
        <f t="shared" ref="C12:H12" si="3">C7+C11</f>
        <v>701.13511000000017</v>
      </c>
      <c r="D12" s="288">
        <f t="shared" si="3"/>
        <v>782.89788499999963</v>
      </c>
      <c r="E12" s="288">
        <f t="shared" si="3"/>
        <v>821.31587000000002</v>
      </c>
      <c r="F12" s="288">
        <f t="shared" si="3"/>
        <v>896.2587649999997</v>
      </c>
      <c r="G12" s="288">
        <f t="shared" si="3"/>
        <v>987.49680399999954</v>
      </c>
      <c r="H12" s="288">
        <f t="shared" si="3"/>
        <v>1126.1979349999992</v>
      </c>
      <c r="I12" s="288">
        <f t="shared" ref="I12:L12" si="4">I7+I11</f>
        <v>1283.9753090499999</v>
      </c>
      <c r="J12" s="288">
        <f t="shared" ref="J12" si="5">J7+J11</f>
        <v>1389.7892373999998</v>
      </c>
      <c r="K12" s="288">
        <f t="shared" si="4"/>
        <v>1447.8359290100007</v>
      </c>
      <c r="L12" s="288">
        <f t="shared" si="4"/>
        <v>1302.9039290100004</v>
      </c>
      <c r="M12" s="291">
        <f t="shared" ref="M12" si="6">M7+M11</f>
        <v>1320.4209290100005</v>
      </c>
    </row>
    <row r="13" spans="1:17" x14ac:dyDescent="0.25">
      <c r="B13" s="308"/>
      <c r="C13" s="257"/>
      <c r="D13" s="257"/>
      <c r="E13" s="257"/>
      <c r="F13" s="257"/>
      <c r="G13" s="257"/>
      <c r="J13" s="264"/>
      <c r="K13" s="264"/>
      <c r="L13" s="264"/>
    </row>
    <row r="14" spans="1:17" x14ac:dyDescent="0.25">
      <c r="B14" s="308"/>
      <c r="C14" s="257"/>
      <c r="D14" s="257"/>
      <c r="E14" s="257"/>
      <c r="F14" s="257"/>
      <c r="G14" s="257"/>
      <c r="I14" s="264"/>
      <c r="J14" s="264"/>
      <c r="K14" s="264"/>
      <c r="L14" s="264"/>
    </row>
    <row r="15" spans="1:17" x14ac:dyDescent="0.25">
      <c r="B15" s="308"/>
      <c r="C15" s="257"/>
      <c r="D15" s="257"/>
      <c r="E15" s="257"/>
      <c r="F15" s="257"/>
      <c r="G15" s="257"/>
    </row>
    <row r="16" spans="1:17" x14ac:dyDescent="0.25">
      <c r="B16" s="308"/>
      <c r="C16" s="257"/>
      <c r="D16" s="257"/>
      <c r="E16" s="257"/>
      <c r="F16" s="257"/>
      <c r="G16" s="257"/>
    </row>
    <row r="17" spans="2:7" x14ac:dyDescent="0.25">
      <c r="B17" s="308"/>
      <c r="C17" s="257"/>
      <c r="D17" s="257"/>
      <c r="E17" s="257"/>
      <c r="F17" s="257"/>
      <c r="G17" s="257"/>
    </row>
    <row r="18" spans="2:7" x14ac:dyDescent="0.25">
      <c r="B18" s="308"/>
      <c r="C18" s="257"/>
      <c r="D18" s="257"/>
      <c r="E18" s="257"/>
      <c r="F18" s="257"/>
      <c r="G18" s="257"/>
    </row>
    <row r="19" spans="2:7" x14ac:dyDescent="0.25">
      <c r="B19" s="308"/>
      <c r="C19" s="257"/>
      <c r="D19" s="257"/>
      <c r="E19" s="257"/>
      <c r="F19" s="257"/>
      <c r="G19" s="257"/>
    </row>
    <row r="20" spans="2:7" x14ac:dyDescent="0.25">
      <c r="B20" s="308"/>
      <c r="C20" s="257"/>
      <c r="D20" s="257"/>
      <c r="E20" s="257"/>
      <c r="F20" s="257"/>
      <c r="G20" s="257"/>
    </row>
    <row r="21" spans="2:7" x14ac:dyDescent="0.25">
      <c r="B21" s="308"/>
      <c r="C21" s="257"/>
      <c r="D21" s="257"/>
      <c r="E21" s="257"/>
      <c r="F21" s="257"/>
      <c r="G21" s="257"/>
    </row>
    <row r="22" spans="2:7" x14ac:dyDescent="0.25">
      <c r="B22" s="308"/>
      <c r="C22" s="257"/>
      <c r="D22" s="257"/>
      <c r="E22" s="257"/>
      <c r="F22" s="257"/>
      <c r="G22" s="257"/>
    </row>
    <row r="23" spans="2:7" x14ac:dyDescent="0.25">
      <c r="B23" s="308"/>
      <c r="C23" s="257"/>
      <c r="D23" s="257"/>
      <c r="E23" s="257"/>
      <c r="F23" s="257"/>
      <c r="G23" s="257"/>
    </row>
    <row r="24" spans="2:7" x14ac:dyDescent="0.25">
      <c r="B24" s="308"/>
      <c r="C24" s="257"/>
      <c r="D24" s="257"/>
      <c r="E24" s="257"/>
      <c r="F24" s="257"/>
      <c r="G24" s="257"/>
    </row>
    <row r="25" spans="2:7" x14ac:dyDescent="0.25">
      <c r="B25" s="308"/>
      <c r="C25" s="257"/>
      <c r="D25" s="257"/>
      <c r="E25" s="257"/>
      <c r="F25" s="257"/>
      <c r="G25" s="257"/>
    </row>
    <row r="45" spans="1:18" x14ac:dyDescent="0.25">
      <c r="A45" s="621"/>
      <c r="B45" s="622"/>
      <c r="C45" s="623"/>
      <c r="D45" s="623"/>
      <c r="E45" s="623"/>
      <c r="F45" s="623"/>
      <c r="G45" s="623"/>
      <c r="H45" s="621"/>
      <c r="I45" s="621"/>
      <c r="J45" s="621"/>
      <c r="K45" s="621"/>
      <c r="L45" s="621"/>
      <c r="M45" s="621"/>
      <c r="N45" s="621"/>
      <c r="O45" s="621"/>
      <c r="P45" s="621"/>
      <c r="Q45" s="621"/>
      <c r="R45" s="621"/>
    </row>
  </sheetData>
  <sheetProtection formatColumns="0" formatRows="0" insertColumns="0" insertRows="0" deleteColumns="0" deleteRows="0"/>
  <protectedRanges>
    <protectedRange sqref="A5:A6 B6:M12" name="Bereich1"/>
    <protectedRange sqref="B5:G5" name="Bereich1_1"/>
    <protectedRange sqref="H5:M5" name="Bereich1_2"/>
  </protectedRanges>
  <mergeCells count="14">
    <mergeCell ref="I5:I6"/>
    <mergeCell ref="K5:K6"/>
    <mergeCell ref="H5:H6"/>
    <mergeCell ref="A1:Q1"/>
    <mergeCell ref="A2:Q2"/>
    <mergeCell ref="C5:C6"/>
    <mergeCell ref="D5:D6"/>
    <mergeCell ref="E5:E6"/>
    <mergeCell ref="F5:F6"/>
    <mergeCell ref="G5:G6"/>
    <mergeCell ref="B5:B6"/>
    <mergeCell ref="J5:J6"/>
    <mergeCell ref="M5:M6"/>
    <mergeCell ref="L5:L6"/>
  </mergeCells>
  <pageMargins left="0.19685039370078741" right="0.19685039370078741" top="0.19685039370078741" bottom="0.39370078740157483" header="0.31496062992125984" footer="0.19685039370078741"/>
  <pageSetup paperSize="8" scale="94" orientation="landscape" r:id="rId1"/>
  <headerFooter>
    <oddFooter>&amp;L&amp;"Arial Narrow,Standard"DFG, 5. Dezember 2024</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C97EF870D0FC44CB571D40EA547E9CB" ma:contentTypeVersion="3" ma:contentTypeDescription="Ein neues Dokument erstellen." ma:contentTypeScope="" ma:versionID="ba97c5a2cfd7dab43d6fc14bd94c160f">
  <xsd:schema xmlns:xsd="http://www.w3.org/2001/XMLSchema" xmlns:xs="http://www.w3.org/2001/XMLSchema" xmlns:p="http://schemas.microsoft.com/office/2006/metadata/properties" xmlns:ns1="http://schemas.microsoft.com/sharepoint/v3" targetNamespace="http://schemas.microsoft.com/office/2006/metadata/properties" ma:root="true" ma:fieldsID="ecbd84472719e3ddd2f7516b7c680bf3" ns1:_="">
    <xsd:import namespace="http://schemas.microsoft.com/sharepoint/v3"/>
    <xsd:element name="properties">
      <xsd:complexType>
        <xsd:sequence>
          <xsd:element name="documentManagement">
            <xsd:complexType>
              <xsd:all>
                <xsd:element ref="ns1:CustomerID" minOccurs="0"/>
                <xsd:element ref="ns1:Languag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ustomerID" ma:index="8" nillable="true" ma:displayName="Benutzerdefinierte ID" ma:internalName="CustomerID">
      <xsd:simpleType>
        <xsd:restriction base="dms:Text"/>
      </xsd:simpleType>
    </xsd:element>
    <xsd:element name="Language" ma:index="10" nillable="true" ma:displayName="Sprache" ma:default="DE" ma:format="Dropdown" ma:internalName="Language">
      <xsd:simpleType>
        <xsd:restriction base="dms:Choice">
          <xsd:enumeration value="DE"/>
          <xsd:enumeration value="RM"/>
          <xsd:enumeration value="I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ma:index="9" ma:displayName="Kategorie"/>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DE</Language>
    <CustomerID xmlns="http://schemas.microsoft.com/sharepoint/v3">1007</CustomerID>
  </documentManagement>
</p:properties>
</file>

<file path=customXml/itemProps1.xml><?xml version="1.0" encoding="utf-8"?>
<ds:datastoreItem xmlns:ds="http://schemas.openxmlformats.org/officeDocument/2006/customXml" ds:itemID="{1190CAAF-B85C-4284-9803-96E7820E18F7}"/>
</file>

<file path=customXml/itemProps2.xml><?xml version="1.0" encoding="utf-8"?>
<ds:datastoreItem xmlns:ds="http://schemas.openxmlformats.org/officeDocument/2006/customXml" ds:itemID="{533DE010-7829-46A6-A310-3C953439AF79}">
  <ds:schemaRefs>
    <ds:schemaRef ds:uri="http://schemas.microsoft.com/sharepoint/v3/contenttype/forms"/>
  </ds:schemaRefs>
</ds:datastoreItem>
</file>

<file path=customXml/itemProps3.xml><?xml version="1.0" encoding="utf-8"?>
<ds:datastoreItem xmlns:ds="http://schemas.openxmlformats.org/officeDocument/2006/customXml" ds:itemID="{A783691A-6F0B-498F-9892-4C3F83332BB1}">
  <ds:schemaRefs>
    <ds:schemaRef ds:uri="1127b708-ad37-4fe8-8a02-ec26d4ed1eb3"/>
    <ds:schemaRef ds:uri="http://schemas.microsoft.com/office/2006/metadata/properties"/>
    <ds:schemaRef ds:uri="http://purl.org/dc/dcmitype/"/>
    <ds:schemaRef ds:uri="http://schemas.microsoft.com/office/infopath/2007/PartnerControls"/>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8</vt:i4>
      </vt:variant>
    </vt:vector>
  </HeadingPairs>
  <TitlesOfParts>
    <vt:vector size="17" baseType="lpstr">
      <vt:lpstr>Schlüsselgrössen</vt:lpstr>
      <vt:lpstr>Aufwandgruppen</vt:lpstr>
      <vt:lpstr>Ertragsgruppen</vt:lpstr>
      <vt:lpstr>SF Strassen</vt:lpstr>
      <vt:lpstr>HRM2-Kennzahlen ab 2013</vt:lpstr>
      <vt:lpstr>Gesamtlohnsumme</vt:lpstr>
      <vt:lpstr>Ergebnisse Erfolgsrechnung</vt:lpstr>
      <vt:lpstr>Ergebnisse Investitionsrechnung</vt:lpstr>
      <vt:lpstr>frei verfügbares Eigenkapital</vt:lpstr>
      <vt:lpstr>Aufwandgruppen!Druckbereich</vt:lpstr>
      <vt:lpstr>'Ergebnisse Erfolgsrechnung'!Druckbereich</vt:lpstr>
      <vt:lpstr>'Ergebnisse Investitionsrechnung'!Druckbereich</vt:lpstr>
      <vt:lpstr>'frei verfügbares Eigenkapital'!Druckbereich</vt:lpstr>
      <vt:lpstr>Gesamtlohnsumme!Druckbereich</vt:lpstr>
      <vt:lpstr>'HRM2-Kennzahlen ab 2013'!Druckbereich</vt:lpstr>
      <vt:lpstr>Schlüsselgrössen!Druckbereich</vt:lpstr>
      <vt:lpstr>'SF Strassen'!Druckbereich</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Schlüsselgrössen Finanzhaushalt 1997 bis Budget 2026</dc:title>
  <dc:creator>felsan</dc:creator>
  <cp:lastModifiedBy>Häseli Joël (DFG GR)</cp:lastModifiedBy>
  <cp:lastPrinted>2025-11-06T14:02:36Z</cp:lastPrinted>
  <dcterms:created xsi:type="dcterms:W3CDTF">2010-09-16T06:23:44Z</dcterms:created>
  <dcterms:modified xsi:type="dcterms:W3CDTF">2025-11-12T07:43:39Z</dcterms:modified>
  <cp:category>2026</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0x010100AC97EF870D0FC44CB571D40EA547E9CB</vt:lpwstr>
  </property>
  <property fmtid="{D5CDD505-2E9C-101B-9397-08002B2CF9AE}" pid="3" name="Jet Reports Function Literals">
    <vt:lpwstr>\	;	;	{	}	[@[{0}]]	1031	2055</vt:lpwstr>
  </property>
  <property fmtid="{D5CDD505-2E9C-101B-9397-08002B2CF9AE}" pid="4" name="MSIP_Label_fbfc5642-2d7f-4e68-9674-ab3e35a89b06_Enabled">
    <vt:lpwstr>true</vt:lpwstr>
  </property>
  <property fmtid="{D5CDD505-2E9C-101B-9397-08002B2CF9AE}" pid="5" name="MSIP_Label_fbfc5642-2d7f-4e68-9674-ab3e35a89b06_SetDate">
    <vt:lpwstr>2025-09-04T13:51:07Z</vt:lpwstr>
  </property>
  <property fmtid="{D5CDD505-2E9C-101B-9397-08002B2CF9AE}" pid="6" name="MSIP_Label_fbfc5642-2d7f-4e68-9674-ab3e35a89b06_Method">
    <vt:lpwstr>Standard</vt:lpwstr>
  </property>
  <property fmtid="{D5CDD505-2E9C-101B-9397-08002B2CF9AE}" pid="7" name="MSIP_Label_fbfc5642-2d7f-4e68-9674-ab3e35a89b06_Name">
    <vt:lpwstr>label-2-default</vt:lpwstr>
  </property>
  <property fmtid="{D5CDD505-2E9C-101B-9397-08002B2CF9AE}" pid="8" name="MSIP_Label_fbfc5642-2d7f-4e68-9674-ab3e35a89b06_SiteId">
    <vt:lpwstr>70ee0a01-45f2-4b86-aa78-73100089c50c</vt:lpwstr>
  </property>
  <property fmtid="{D5CDD505-2E9C-101B-9397-08002B2CF9AE}" pid="9" name="MSIP_Label_fbfc5642-2d7f-4e68-9674-ab3e35a89b06_ActionId">
    <vt:lpwstr>e4f3ad6f-cab2-4a42-8aee-94a038fbdfd3</vt:lpwstr>
  </property>
  <property fmtid="{D5CDD505-2E9C-101B-9397-08002B2CF9AE}" pid="10" name="MSIP_Label_fbfc5642-2d7f-4e68-9674-ab3e35a89b06_ContentBits">
    <vt:lpwstr>0</vt:lpwstr>
  </property>
  <property fmtid="{D5CDD505-2E9C-101B-9397-08002B2CF9AE}" pid="11" name="MSIP_Label_fbfc5642-2d7f-4e68-9674-ab3e35a89b06_Tag">
    <vt:lpwstr>10, 3, 0, 1</vt:lpwstr>
  </property>
</Properties>
</file>